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hidePivotFieldList="1" defaultThemeVersion="124226"/>
  <mc:AlternateContent xmlns:mc="http://schemas.openxmlformats.org/markup-compatibility/2006">
    <mc:Choice Requires="x15">
      <x15ac:absPath xmlns:x15ac="http://schemas.microsoft.com/office/spreadsheetml/2010/11/ac" url="https://d.docs.live.net/7257a71b0a88d8a5/Documents/HOSPITAL SAN RAFAEL DE TUNJA/2024/1. ENERO/"/>
    </mc:Choice>
  </mc:AlternateContent>
  <xr:revisionPtr revIDLastSave="6" documentId="11_42DD590047E103B30E4618986F14778673F07E40" xr6:coauthVersionLast="47" xr6:coauthVersionMax="47" xr10:uidLastSave="{3BDA2EF3-1516-4A21-9C33-EE3A555AEAC7}"/>
  <bookViews>
    <workbookView xWindow="-120" yWindow="-12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r:id="rId9"/>
    <sheet name="CONTROL DE CAMBIOS" sheetId="22" r:id="rId10"/>
  </sheets>
  <definedNames>
    <definedName name="_xlnm._FilterDatabase" localSheetId="1" hidden="1">'Mapa final'!$B$8:$BW$116</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16" i="1" l="1"/>
  <c r="V116" i="1"/>
  <c r="Y115" i="1" l="1"/>
  <c r="V115" i="1"/>
  <c r="Y114" i="1"/>
  <c r="V114" i="1"/>
  <c r="Y113" i="1" l="1"/>
  <c r="V113" i="1"/>
  <c r="Q116" i="1"/>
  <c r="Q114" i="1"/>
  <c r="Q113" i="1"/>
  <c r="M116" i="1"/>
  <c r="N116" i="1" s="1"/>
  <c r="M114" i="1"/>
  <c r="N114" i="1" s="1"/>
  <c r="AD114" i="1" s="1"/>
  <c r="M113" i="1"/>
  <c r="N113" i="1" s="1"/>
  <c r="S114" i="1" l="1"/>
  <c r="S116" i="1"/>
  <c r="AF114" i="1"/>
  <c r="AD115" i="1" s="1"/>
  <c r="AE114" i="1"/>
  <c r="S113" i="1"/>
  <c r="AD113" i="1"/>
  <c r="AF113" i="1" s="1"/>
  <c r="R116" i="1"/>
  <c r="R114" i="1"/>
  <c r="AH114" i="1" s="1"/>
  <c r="R113" i="1"/>
  <c r="AH113" i="1" s="1"/>
  <c r="AG113" i="1" s="1"/>
  <c r="Q74" i="1"/>
  <c r="R74" i="1" s="1"/>
  <c r="Y74" i="1"/>
  <c r="V74" i="1"/>
  <c r="M74" i="1"/>
  <c r="Y83" i="1"/>
  <c r="V83" i="1"/>
  <c r="Y82" i="1"/>
  <c r="V82" i="1"/>
  <c r="Q82" i="1"/>
  <c r="R82" i="1" s="1"/>
  <c r="M82" i="1"/>
  <c r="Y81" i="1"/>
  <c r="V81" i="1"/>
  <c r="Q81" i="1"/>
  <c r="M81" i="1"/>
  <c r="N81" i="1" s="1"/>
  <c r="AG114" i="1" l="1"/>
  <c r="AI114" i="1" s="1"/>
  <c r="AH115" i="1"/>
  <c r="AE115" i="1"/>
  <c r="AF115" i="1"/>
  <c r="AD116" i="1" s="1"/>
  <c r="AE113" i="1"/>
  <c r="AI113" i="1" s="1"/>
  <c r="AJ113" i="1" s="1"/>
  <c r="S74" i="1"/>
  <c r="AH74" i="1"/>
  <c r="AG74" i="1" s="1"/>
  <c r="N74" i="1"/>
  <c r="AD74" i="1" s="1"/>
  <c r="R81" i="1"/>
  <c r="AH81" i="1" s="1"/>
  <c r="S81" i="1"/>
  <c r="S82" i="1"/>
  <c r="AH82" i="1"/>
  <c r="AG82" i="1" s="1"/>
  <c r="AD81" i="1"/>
  <c r="N82" i="1"/>
  <c r="AD82" i="1" s="1"/>
  <c r="AG115" i="1" l="1"/>
  <c r="AI115" i="1" s="1"/>
  <c r="AH116" i="1"/>
  <c r="AG116" i="1" s="1"/>
  <c r="AE116" i="1"/>
  <c r="AF116" i="1"/>
  <c r="AE74" i="1"/>
  <c r="AI74" i="1" s="1"/>
  <c r="AJ74" i="1" s="1"/>
  <c r="AF74" i="1"/>
  <c r="AF82" i="1"/>
  <c r="AD83" i="1" s="1"/>
  <c r="AE82" i="1"/>
  <c r="AI82" i="1" s="1"/>
  <c r="AG81" i="1"/>
  <c r="AH83" i="1"/>
  <c r="AG83" i="1" s="1"/>
  <c r="AE81" i="1"/>
  <c r="AF81" i="1"/>
  <c r="Y100" i="1"/>
  <c r="V100" i="1"/>
  <c r="AJ114" i="1" l="1"/>
  <c r="AI116" i="1"/>
  <c r="AJ116" i="1" s="1"/>
  <c r="AI81" i="1"/>
  <c r="AE83" i="1"/>
  <c r="AI83" i="1" s="1"/>
  <c r="AF83" i="1"/>
  <c r="Q95" i="1"/>
  <c r="Q94" i="1"/>
  <c r="Q100" i="1"/>
  <c r="M100" i="1"/>
  <c r="N100" i="1" s="1"/>
  <c r="AD100" i="1" s="1"/>
  <c r="Y80" i="1"/>
  <c r="V80" i="1"/>
  <c r="Q79" i="1"/>
  <c r="Q80" i="1"/>
  <c r="R80" i="1" s="1"/>
  <c r="M80" i="1"/>
  <c r="N80" i="1" s="1"/>
  <c r="Y79" i="1"/>
  <c r="M79" i="1"/>
  <c r="M84" i="1"/>
  <c r="N84" i="1" s="1"/>
  <c r="AD80" i="1" l="1"/>
  <c r="AF80" i="1" s="1"/>
  <c r="AH80" i="1"/>
  <c r="AG80" i="1" s="1"/>
  <c r="AF100" i="1"/>
  <c r="AE100" i="1"/>
  <c r="N79" i="1"/>
  <c r="R100" i="1"/>
  <c r="AH100" i="1" s="1"/>
  <c r="AG100" i="1" s="1"/>
  <c r="S100" i="1"/>
  <c r="AE80" i="1"/>
  <c r="S80" i="1"/>
  <c r="V63" i="1"/>
  <c r="AI80" i="1" l="1"/>
  <c r="AJ80" i="1" s="1"/>
  <c r="AI100" i="1"/>
  <c r="AJ100" i="1" s="1"/>
  <c r="Y112" i="1"/>
  <c r="V112" i="1"/>
  <c r="Q112" i="1"/>
  <c r="M112" i="1"/>
  <c r="R112" i="1" l="1"/>
  <c r="AH112" i="1" s="1"/>
  <c r="AG112" i="1" s="1"/>
  <c r="S112" i="1"/>
  <c r="N112" i="1"/>
  <c r="AD112" i="1" s="1"/>
  <c r="AE112" i="1" l="1"/>
  <c r="AI112" i="1" s="1"/>
  <c r="AJ112" i="1" s="1"/>
  <c r="AF112" i="1"/>
  <c r="Y111" i="1" l="1"/>
  <c r="V111" i="1"/>
  <c r="Y110" i="1"/>
  <c r="V110" i="1"/>
  <c r="Y109" i="1"/>
  <c r="V109" i="1"/>
  <c r="M110" i="1"/>
  <c r="M109" i="1"/>
  <c r="Q110" i="1" l="1"/>
  <c r="R110" i="1" s="1"/>
  <c r="AH110" i="1" s="1"/>
  <c r="AG110" i="1" s="1"/>
  <c r="Q109" i="1"/>
  <c r="R109" i="1" s="1"/>
  <c r="AH109" i="1" s="1"/>
  <c r="AG109" i="1" s="1"/>
  <c r="N109" i="1"/>
  <c r="AD109" i="1" s="1"/>
  <c r="N110" i="1"/>
  <c r="AD110" i="1" s="1"/>
  <c r="S110" i="1" l="1"/>
  <c r="S109" i="1"/>
  <c r="AE109" i="1"/>
  <c r="AI109" i="1" s="1"/>
  <c r="AF109" i="1"/>
  <c r="AE110" i="1"/>
  <c r="AI110" i="1" s="1"/>
  <c r="AF110" i="1"/>
  <c r="AD111" i="1" s="1"/>
  <c r="AH111" i="1"/>
  <c r="AG111" i="1" s="1"/>
  <c r="AJ109" i="1" l="1"/>
  <c r="AJ81" i="1"/>
  <c r="AE111" i="1"/>
  <c r="AI111" i="1" s="1"/>
  <c r="AF111" i="1"/>
  <c r="AJ110" i="1" l="1"/>
  <c r="AJ82" i="1"/>
  <c r="Y108" i="1"/>
  <c r="V108" i="1"/>
  <c r="Y107" i="1"/>
  <c r="V107" i="1"/>
  <c r="Y106" i="1"/>
  <c r="V106" i="1"/>
  <c r="M107" i="1"/>
  <c r="M106" i="1"/>
  <c r="Q107" i="1" l="1"/>
  <c r="R107" i="1" s="1"/>
  <c r="AH107" i="1" s="1"/>
  <c r="AG107" i="1" s="1"/>
  <c r="Q106" i="1"/>
  <c r="R106" i="1" s="1"/>
  <c r="AH106" i="1" s="1"/>
  <c r="AG106" i="1" s="1"/>
  <c r="N106" i="1"/>
  <c r="AD106" i="1" s="1"/>
  <c r="N107" i="1"/>
  <c r="AD107" i="1" s="1"/>
  <c r="S107" i="1" l="1"/>
  <c r="S106" i="1"/>
  <c r="AE106" i="1"/>
  <c r="AI106" i="1" s="1"/>
  <c r="AJ106" i="1" s="1"/>
  <c r="AF106" i="1"/>
  <c r="AE107" i="1"/>
  <c r="AI107" i="1" s="1"/>
  <c r="AF107" i="1"/>
  <c r="AD108" i="1" s="1"/>
  <c r="AH108" i="1"/>
  <c r="AG108" i="1" s="1"/>
  <c r="AE108" i="1" l="1"/>
  <c r="AI108" i="1" s="1"/>
  <c r="AJ107" i="1" s="1"/>
  <c r="AF108" i="1"/>
  <c r="Y105" i="1" l="1"/>
  <c r="V105" i="1"/>
  <c r="Y104" i="1"/>
  <c r="V104" i="1"/>
  <c r="Y103" i="1"/>
  <c r="V103" i="1"/>
  <c r="M104" i="1"/>
  <c r="M103" i="1"/>
  <c r="Q104" i="1" l="1"/>
  <c r="R104" i="1" s="1"/>
  <c r="AH104" i="1" s="1"/>
  <c r="AG104" i="1" s="1"/>
  <c r="Q103" i="1"/>
  <c r="R103" i="1" s="1"/>
  <c r="AH103" i="1" s="1"/>
  <c r="AG103" i="1" s="1"/>
  <c r="N103" i="1"/>
  <c r="AD103" i="1" s="1"/>
  <c r="N104" i="1"/>
  <c r="AD104" i="1" s="1"/>
  <c r="S104" i="1" l="1"/>
  <c r="S103" i="1"/>
  <c r="AE104" i="1"/>
  <c r="AI104" i="1" s="1"/>
  <c r="AF104" i="1"/>
  <c r="AD105" i="1" s="1"/>
  <c r="AE103" i="1"/>
  <c r="AI103" i="1" s="1"/>
  <c r="AJ103" i="1" s="1"/>
  <c r="AF103" i="1"/>
  <c r="AH105" i="1"/>
  <c r="AG105" i="1" s="1"/>
  <c r="AE105" i="1" l="1"/>
  <c r="AI105" i="1" s="1"/>
  <c r="AJ104" i="1" s="1"/>
  <c r="AF105" i="1"/>
  <c r="Y102" i="1" l="1"/>
  <c r="V102" i="1"/>
  <c r="Y101" i="1"/>
  <c r="V101" i="1"/>
  <c r="L102" i="1"/>
  <c r="M102" i="1" s="1"/>
  <c r="L101" i="1"/>
  <c r="M101" i="1" s="1"/>
  <c r="Q101" i="1" l="1"/>
  <c r="R101" i="1" s="1"/>
  <c r="AH101" i="1" s="1"/>
  <c r="AG101" i="1" s="1"/>
  <c r="Q102" i="1"/>
  <c r="N101" i="1"/>
  <c r="AD101" i="1" s="1"/>
  <c r="N102" i="1"/>
  <c r="AD102" i="1" s="1"/>
  <c r="R102" i="1" l="1"/>
  <c r="AH102" i="1" s="1"/>
  <c r="AG102" i="1" s="1"/>
  <c r="S102" i="1"/>
  <c r="S101" i="1"/>
  <c r="AE102" i="1"/>
  <c r="AF102" i="1"/>
  <c r="AE101" i="1"/>
  <c r="AI101" i="1" s="1"/>
  <c r="AJ101" i="1" s="1"/>
  <c r="AF101" i="1"/>
  <c r="AI102" i="1" l="1"/>
  <c r="AJ102" i="1" s="1"/>
  <c r="Y96" i="1"/>
  <c r="V96" i="1"/>
  <c r="Y99" i="1"/>
  <c r="V99" i="1"/>
  <c r="Y98" i="1"/>
  <c r="V98" i="1"/>
  <c r="Y97" i="1"/>
  <c r="V97" i="1"/>
  <c r="Y95" i="1"/>
  <c r="V95" i="1"/>
  <c r="Y94" i="1"/>
  <c r="V94" i="1"/>
  <c r="M99" i="1"/>
  <c r="M97" i="1"/>
  <c r="M96" i="1"/>
  <c r="R95" i="1"/>
  <c r="M95" i="1"/>
  <c r="R94" i="1"/>
  <c r="M94" i="1"/>
  <c r="N94" i="1" s="1"/>
  <c r="Q99" i="1" l="1"/>
  <c r="R99" i="1" s="1"/>
  <c r="AH99" i="1" s="1"/>
  <c r="AG99" i="1" s="1"/>
  <c r="Q96" i="1"/>
  <c r="R96" i="1" s="1"/>
  <c r="AH96" i="1" s="1"/>
  <c r="AG96" i="1" s="1"/>
  <c r="Q97" i="1"/>
  <c r="R97" i="1" s="1"/>
  <c r="AH97" i="1" s="1"/>
  <c r="AG97" i="1" s="1"/>
  <c r="S95" i="1"/>
  <c r="N95" i="1"/>
  <c r="AD95" i="1" s="1"/>
  <c r="AD94" i="1"/>
  <c r="AH94" i="1"/>
  <c r="AG94" i="1" s="1"/>
  <c r="AH95" i="1"/>
  <c r="AG95" i="1" s="1"/>
  <c r="AH98" i="1"/>
  <c r="AG98" i="1" s="1"/>
  <c r="S94" i="1"/>
  <c r="N97" i="1"/>
  <c r="AD97" i="1" s="1"/>
  <c r="N96" i="1"/>
  <c r="AD96" i="1" s="1"/>
  <c r="N99" i="1"/>
  <c r="AD99" i="1" s="1"/>
  <c r="S99" i="1" l="1"/>
  <c r="S96" i="1"/>
  <c r="S97" i="1"/>
  <c r="AE99" i="1"/>
  <c r="AI99" i="1" s="1"/>
  <c r="AJ99" i="1" s="1"/>
  <c r="AF99" i="1"/>
  <c r="AE97" i="1"/>
  <c r="AI97" i="1" s="1"/>
  <c r="AF97" i="1"/>
  <c r="AD98" i="1" s="1"/>
  <c r="AE96" i="1"/>
  <c r="AI96" i="1" s="1"/>
  <c r="AJ96" i="1" s="1"/>
  <c r="AF96" i="1"/>
  <c r="AE95" i="1"/>
  <c r="AI95" i="1" s="1"/>
  <c r="AJ95" i="1" s="1"/>
  <c r="AF95" i="1"/>
  <c r="AE94" i="1"/>
  <c r="AI94" i="1" s="1"/>
  <c r="AJ94" i="1" s="1"/>
  <c r="AF94" i="1"/>
  <c r="AE98" i="1" l="1"/>
  <c r="AI98" i="1" s="1"/>
  <c r="AJ97" i="1" s="1"/>
  <c r="AF98" i="1"/>
  <c r="Y93" i="1" l="1"/>
  <c r="V93" i="1"/>
  <c r="Y92" i="1"/>
  <c r="V92" i="1"/>
  <c r="Y91" i="1"/>
  <c r="V91" i="1"/>
  <c r="M92" i="1"/>
  <c r="M91" i="1"/>
  <c r="N91" i="1" l="1"/>
  <c r="AD91" i="1" s="1"/>
  <c r="N92" i="1"/>
  <c r="AD92" i="1" s="1"/>
  <c r="AE91" i="1" l="1"/>
  <c r="AF91" i="1"/>
  <c r="AE92" i="1"/>
  <c r="AF92" i="1"/>
  <c r="AD93" i="1" s="1"/>
  <c r="AE93" i="1" l="1"/>
  <c r="AF93" i="1"/>
  <c r="Y90" i="1" l="1"/>
  <c r="V90" i="1"/>
  <c r="Y89" i="1"/>
  <c r="V89" i="1"/>
  <c r="M90" i="1"/>
  <c r="M89" i="1"/>
  <c r="R90" i="1" l="1"/>
  <c r="AH90" i="1" s="1"/>
  <c r="AG90" i="1" s="1"/>
  <c r="Q89" i="1"/>
  <c r="S89" i="1" s="1"/>
  <c r="N89" i="1"/>
  <c r="AD89" i="1" s="1"/>
  <c r="N90" i="1"/>
  <c r="AD90" i="1" s="1"/>
  <c r="R91" i="1" l="1"/>
  <c r="AH91" i="1" s="1"/>
  <c r="S91" i="1"/>
  <c r="R92" i="1"/>
  <c r="AH92" i="1" s="1"/>
  <c r="AG92" i="1" s="1"/>
  <c r="AI92" i="1" s="1"/>
  <c r="S92" i="1"/>
  <c r="R89" i="1"/>
  <c r="AH89" i="1" s="1"/>
  <c r="AG89" i="1" s="1"/>
  <c r="S90" i="1"/>
  <c r="AE89" i="1"/>
  <c r="AF89" i="1"/>
  <c r="AE90" i="1"/>
  <c r="AI90" i="1" s="1"/>
  <c r="AJ90" i="1" s="1"/>
  <c r="AF90" i="1"/>
  <c r="AG91" i="1" l="1"/>
  <c r="AI91" i="1" s="1"/>
  <c r="AJ91" i="1" s="1"/>
  <c r="AH93" i="1"/>
  <c r="AG93" i="1" s="1"/>
  <c r="AI93" i="1" s="1"/>
  <c r="AJ92" i="1" s="1"/>
  <c r="AI89" i="1"/>
  <c r="AJ89" i="1" s="1"/>
  <c r="Y88" i="1" l="1"/>
  <c r="V88" i="1"/>
  <c r="L88" i="1"/>
  <c r="M88" i="1" s="1"/>
  <c r="Q88" i="1" l="1"/>
  <c r="R88" i="1" s="1"/>
  <c r="AH88" i="1" s="1"/>
  <c r="AG88" i="1" s="1"/>
  <c r="N88" i="1"/>
  <c r="AD88" i="1" s="1"/>
  <c r="Y87" i="1"/>
  <c r="V87" i="1"/>
  <c r="Y86" i="1"/>
  <c r="V86" i="1"/>
  <c r="Y85" i="1"/>
  <c r="V85" i="1"/>
  <c r="Y84" i="1"/>
  <c r="V84" i="1"/>
  <c r="Q86" i="1"/>
  <c r="L86" i="1"/>
  <c r="M86" i="1" s="1"/>
  <c r="M85" i="1"/>
  <c r="N85" i="1" s="1"/>
  <c r="Q84" i="1"/>
  <c r="AD84" i="1" l="1"/>
  <c r="S88" i="1"/>
  <c r="AE88" i="1"/>
  <c r="AI88" i="1" s="1"/>
  <c r="AJ88" i="1" s="1"/>
  <c r="AF88" i="1"/>
  <c r="AD85" i="1"/>
  <c r="R86" i="1"/>
  <c r="AH86" i="1" s="1"/>
  <c r="AG86" i="1" s="1"/>
  <c r="R84" i="1"/>
  <c r="AH84" i="1" s="1"/>
  <c r="AG84" i="1" s="1"/>
  <c r="S84" i="1"/>
  <c r="S86" i="1"/>
  <c r="N86" i="1"/>
  <c r="AD86" i="1" s="1"/>
  <c r="AE84" i="1" l="1"/>
  <c r="AI84" i="1" s="1"/>
  <c r="AJ84" i="1" s="1"/>
  <c r="AF84" i="1"/>
  <c r="R79" i="1"/>
  <c r="S79" i="1"/>
  <c r="AJ79" i="1" s="1"/>
  <c r="AE85" i="1"/>
  <c r="AF85" i="1"/>
  <c r="AE86" i="1"/>
  <c r="AI86" i="1" s="1"/>
  <c r="AF86" i="1"/>
  <c r="AD87" i="1" s="1"/>
  <c r="AE87" i="1" l="1"/>
  <c r="AF87" i="1"/>
  <c r="Y78" i="1" l="1"/>
  <c r="V78" i="1"/>
  <c r="Y77" i="1"/>
  <c r="V77" i="1"/>
  <c r="Y76" i="1"/>
  <c r="V76" i="1"/>
  <c r="Y75" i="1"/>
  <c r="V75" i="1"/>
  <c r="M77" i="1"/>
  <c r="Q75" i="1"/>
  <c r="M75" i="1"/>
  <c r="AH79" i="1" l="1"/>
  <c r="AG79" i="1" s="1"/>
  <c r="AD79" i="1"/>
  <c r="Q77" i="1"/>
  <c r="R77" i="1" s="1"/>
  <c r="AH77" i="1" s="1"/>
  <c r="AG77" i="1" s="1"/>
  <c r="Q85" i="1"/>
  <c r="R75" i="1"/>
  <c r="AH75" i="1" s="1"/>
  <c r="AG75" i="1" s="1"/>
  <c r="S75" i="1"/>
  <c r="N75" i="1"/>
  <c r="AD75" i="1" s="1"/>
  <c r="N77" i="1"/>
  <c r="AD77" i="1" s="1"/>
  <c r="AF79" i="1" l="1"/>
  <c r="AE79" i="1"/>
  <c r="AI79" i="1" s="1"/>
  <c r="S77" i="1"/>
  <c r="R85" i="1"/>
  <c r="AH85" i="1" s="1"/>
  <c r="S85" i="1"/>
  <c r="AE75" i="1"/>
  <c r="AI75" i="1" s="1"/>
  <c r="AF75" i="1"/>
  <c r="AD76" i="1" s="1"/>
  <c r="AH78" i="1"/>
  <c r="AG78" i="1" s="1"/>
  <c r="AE77" i="1"/>
  <c r="AI77" i="1" s="1"/>
  <c r="AF77" i="1"/>
  <c r="AD78" i="1" s="1"/>
  <c r="AH76" i="1"/>
  <c r="AG76" i="1" s="1"/>
  <c r="AG85" i="1" l="1"/>
  <c r="AI85" i="1" s="1"/>
  <c r="AJ85" i="1" s="1"/>
  <c r="AH87" i="1"/>
  <c r="AG87" i="1" s="1"/>
  <c r="AI87" i="1" s="1"/>
  <c r="AJ86" i="1" s="1"/>
  <c r="AE78" i="1"/>
  <c r="AI78" i="1" s="1"/>
  <c r="AJ77" i="1" s="1"/>
  <c r="AF78" i="1"/>
  <c r="AE76" i="1"/>
  <c r="AI76" i="1" s="1"/>
  <c r="AJ75" i="1" s="1"/>
  <c r="AF76" i="1"/>
  <c r="Y73" i="1" l="1"/>
  <c r="V73" i="1"/>
  <c r="Q73" i="1"/>
  <c r="M73" i="1"/>
  <c r="R73" i="1" l="1"/>
  <c r="AH73" i="1" s="1"/>
  <c r="AG73" i="1" s="1"/>
  <c r="S73" i="1"/>
  <c r="N73" i="1"/>
  <c r="AD73" i="1" s="1"/>
  <c r="AE73" i="1" l="1"/>
  <c r="AI73" i="1" s="1"/>
  <c r="AF73" i="1"/>
  <c r="AJ73" i="1" l="1"/>
  <c r="Y72" i="1"/>
  <c r="V72" i="1"/>
  <c r="Y71" i="1"/>
  <c r="V71" i="1"/>
  <c r="M72" i="1"/>
  <c r="N72" i="1" s="1"/>
  <c r="L71" i="1"/>
  <c r="M71" i="1" s="1"/>
  <c r="Q72" i="1" l="1"/>
  <c r="R72" i="1" s="1"/>
  <c r="AH72" i="1" s="1"/>
  <c r="AG72" i="1" s="1"/>
  <c r="Q71" i="1"/>
  <c r="R71" i="1" s="1"/>
  <c r="AH71" i="1" s="1"/>
  <c r="AG71" i="1" s="1"/>
  <c r="AD72" i="1"/>
  <c r="N71" i="1"/>
  <c r="AD71" i="1" s="1"/>
  <c r="S72" i="1" l="1"/>
  <c r="S71" i="1"/>
  <c r="AE72" i="1"/>
  <c r="AI72" i="1" s="1"/>
  <c r="AJ72" i="1" s="1"/>
  <c r="AF72" i="1"/>
  <c r="AE71" i="1"/>
  <c r="AI71" i="1" s="1"/>
  <c r="AJ71" i="1" s="1"/>
  <c r="AF71" i="1"/>
  <c r="Y70" i="1" l="1"/>
  <c r="V70" i="1"/>
  <c r="Y69" i="1"/>
  <c r="V69" i="1"/>
  <c r="L70" i="1"/>
  <c r="M70" i="1" s="1"/>
  <c r="L69" i="1"/>
  <c r="M69" i="1" s="1"/>
  <c r="Q69" i="1" l="1"/>
  <c r="R69" i="1" s="1"/>
  <c r="AH69" i="1" s="1"/>
  <c r="AG69" i="1" s="1"/>
  <c r="Q70" i="1"/>
  <c r="R70" i="1" s="1"/>
  <c r="AH70" i="1" s="1"/>
  <c r="AG70" i="1" s="1"/>
  <c r="N69" i="1"/>
  <c r="AD69" i="1" s="1"/>
  <c r="N70" i="1"/>
  <c r="AD70" i="1" s="1"/>
  <c r="S70" i="1" l="1"/>
  <c r="S69" i="1"/>
  <c r="AE70" i="1"/>
  <c r="AI70" i="1" s="1"/>
  <c r="AJ70" i="1" s="1"/>
  <c r="AF70" i="1"/>
  <c r="AE69" i="1"/>
  <c r="AI69" i="1" s="1"/>
  <c r="AJ69" i="1" s="1"/>
  <c r="AF69" i="1"/>
  <c r="Y68" i="1" l="1"/>
  <c r="V68" i="1"/>
  <c r="Y67" i="1"/>
  <c r="V67" i="1"/>
  <c r="M68" i="1"/>
  <c r="M67" i="1"/>
  <c r="Q67" i="1" l="1"/>
  <c r="S67" i="1" s="1"/>
  <c r="Q68" i="1"/>
  <c r="R68" i="1" s="1"/>
  <c r="AH68" i="1" s="1"/>
  <c r="AG68" i="1" s="1"/>
  <c r="N67" i="1"/>
  <c r="AD67" i="1" s="1"/>
  <c r="N68" i="1"/>
  <c r="AD68" i="1" s="1"/>
  <c r="R67" i="1" l="1"/>
  <c r="AH67" i="1" s="1"/>
  <c r="AG67" i="1" s="1"/>
  <c r="S68" i="1"/>
  <c r="AE68" i="1"/>
  <c r="AI68" i="1" s="1"/>
  <c r="AJ68" i="1" s="1"/>
  <c r="AF68" i="1"/>
  <c r="AE67" i="1"/>
  <c r="AF67" i="1"/>
  <c r="AI67" i="1" l="1"/>
  <c r="AJ67" i="1" s="1"/>
  <c r="Y66" i="1"/>
  <c r="V66" i="1"/>
  <c r="Y65" i="1"/>
  <c r="V65" i="1"/>
  <c r="M65" i="1"/>
  <c r="N65" i="1" l="1"/>
  <c r="AD65" i="1" s="1"/>
  <c r="AE65" i="1" l="1"/>
  <c r="AF65" i="1"/>
  <c r="AD66" i="1" s="1"/>
  <c r="AE66" i="1" l="1"/>
  <c r="AF66" i="1"/>
  <c r="Q65" i="1" l="1"/>
  <c r="R65" i="1" l="1"/>
  <c r="AH65" i="1" s="1"/>
  <c r="S65" i="1"/>
  <c r="AG65" i="1" l="1"/>
  <c r="AI65" i="1" s="1"/>
  <c r="AH66" i="1"/>
  <c r="AG66" i="1" s="1"/>
  <c r="AI66" i="1" s="1"/>
  <c r="AJ65" i="1" s="1"/>
  <c r="Y64" i="1" l="1"/>
  <c r="V64" i="1"/>
  <c r="Y63" i="1"/>
  <c r="Y62" i="1"/>
  <c r="V62" i="1"/>
  <c r="L64" i="1"/>
  <c r="M64" i="1" s="1"/>
  <c r="L62" i="1"/>
  <c r="M62" i="1" s="1"/>
  <c r="N62" i="1" l="1"/>
  <c r="AD62" i="1" s="1"/>
  <c r="N64" i="1"/>
  <c r="AD64" i="1" s="1"/>
  <c r="AE64" i="1" l="1"/>
  <c r="AF64" i="1"/>
  <c r="AE62" i="1"/>
  <c r="AF62" i="1"/>
  <c r="AD63" i="1" s="1"/>
  <c r="AE63" i="1" l="1"/>
  <c r="AF63" i="1"/>
  <c r="Y61" i="1" l="1"/>
  <c r="V61" i="1"/>
  <c r="Y60" i="1"/>
  <c r="V60" i="1"/>
  <c r="Y59" i="1"/>
  <c r="V59" i="1"/>
  <c r="Y58" i="1"/>
  <c r="V58" i="1"/>
  <c r="Y57" i="1"/>
  <c r="V57" i="1"/>
  <c r="Y56" i="1"/>
  <c r="V56" i="1"/>
  <c r="M60" i="1"/>
  <c r="M58" i="1"/>
  <c r="M56" i="1"/>
  <c r="Q62" i="1" l="1"/>
  <c r="Q64" i="1"/>
  <c r="N56" i="1"/>
  <c r="AD56" i="1" s="1"/>
  <c r="N58" i="1"/>
  <c r="AD58" i="1" s="1"/>
  <c r="N60" i="1"/>
  <c r="AD60" i="1" s="1"/>
  <c r="Y55" i="1"/>
  <c r="V55" i="1"/>
  <c r="Y54" i="1"/>
  <c r="V54" i="1"/>
  <c r="M55" i="1"/>
  <c r="M54" i="1"/>
  <c r="Q55" i="1" l="1"/>
  <c r="R55" i="1" s="1"/>
  <c r="AH55" i="1" s="1"/>
  <c r="AG55" i="1" s="1"/>
  <c r="Q54" i="1"/>
  <c r="R54" i="1" s="1"/>
  <c r="AH54" i="1" s="1"/>
  <c r="AG54" i="1" s="1"/>
  <c r="R64" i="1"/>
  <c r="AH64" i="1" s="1"/>
  <c r="S64" i="1"/>
  <c r="R62" i="1"/>
  <c r="AH62" i="1" s="1"/>
  <c r="AH63" i="1" s="1"/>
  <c r="AG63" i="1" s="1"/>
  <c r="AI63" i="1" s="1"/>
  <c r="AJ62" i="1" s="1"/>
  <c r="S62" i="1"/>
  <c r="AE60" i="1"/>
  <c r="AF60" i="1"/>
  <c r="AD61" i="1" s="1"/>
  <c r="AE56" i="1"/>
  <c r="AF56" i="1"/>
  <c r="AD57" i="1" s="1"/>
  <c r="AE58" i="1"/>
  <c r="AF58" i="1"/>
  <c r="AD59" i="1" s="1"/>
  <c r="N54" i="1"/>
  <c r="AD54" i="1" s="1"/>
  <c r="N55" i="1"/>
  <c r="AD55" i="1" s="1"/>
  <c r="S55" i="1" l="1"/>
  <c r="S54" i="1"/>
  <c r="AG64" i="1"/>
  <c r="AI64" i="1" s="1"/>
  <c r="AJ64" i="1" s="1"/>
  <c r="AG62" i="1"/>
  <c r="AI62" i="1" s="1"/>
  <c r="AE59" i="1"/>
  <c r="AF59" i="1"/>
  <c r="AE57" i="1"/>
  <c r="AF57" i="1"/>
  <c r="AE61" i="1"/>
  <c r="AF61" i="1"/>
  <c r="Q58" i="1"/>
  <c r="Q56" i="1"/>
  <c r="Q60" i="1"/>
  <c r="AE55" i="1"/>
  <c r="AI55" i="1" s="1"/>
  <c r="AJ55" i="1" s="1"/>
  <c r="AF55" i="1"/>
  <c r="AE54" i="1"/>
  <c r="AI54" i="1" s="1"/>
  <c r="AJ54" i="1" s="1"/>
  <c r="AF54" i="1"/>
  <c r="R56" i="1" l="1"/>
  <c r="AH56" i="1" s="1"/>
  <c r="S56" i="1"/>
  <c r="R60" i="1"/>
  <c r="AH60" i="1" s="1"/>
  <c r="S60" i="1"/>
  <c r="R58" i="1"/>
  <c r="AH58" i="1" s="1"/>
  <c r="S58" i="1"/>
  <c r="Y53" i="1"/>
  <c r="V53" i="1"/>
  <c r="Y52" i="1"/>
  <c r="V52" i="1"/>
  <c r="Y51" i="1"/>
  <c r="V51" i="1"/>
  <c r="Y50" i="1"/>
  <c r="V50" i="1"/>
  <c r="Y49" i="1"/>
  <c r="V49" i="1"/>
  <c r="Q49" i="1"/>
  <c r="Y48" i="1"/>
  <c r="V48" i="1"/>
  <c r="Y47" i="1"/>
  <c r="V47" i="1"/>
  <c r="Y46" i="1"/>
  <c r="V46" i="1"/>
  <c r="Y45" i="1"/>
  <c r="V45" i="1"/>
  <c r="Y44" i="1"/>
  <c r="V44" i="1"/>
  <c r="Q44" i="1"/>
  <c r="Y43" i="1"/>
  <c r="V43" i="1"/>
  <c r="Q43" i="1"/>
  <c r="Y42" i="1"/>
  <c r="V42" i="1"/>
  <c r="Y41" i="1"/>
  <c r="V41" i="1"/>
  <c r="Q41" i="1"/>
  <c r="Y40" i="1"/>
  <c r="V40" i="1"/>
  <c r="Y39" i="1"/>
  <c r="V39" i="1"/>
  <c r="Q39" i="1"/>
  <c r="Y38" i="1"/>
  <c r="V38" i="1"/>
  <c r="Y37" i="1"/>
  <c r="V37" i="1"/>
  <c r="Q37" i="1"/>
  <c r="M53" i="1"/>
  <c r="N53" i="1" s="1"/>
  <c r="M51" i="1"/>
  <c r="N51" i="1" s="1"/>
  <c r="M50" i="1"/>
  <c r="M46" i="1"/>
  <c r="M40" i="1"/>
  <c r="N40" i="1" s="1"/>
  <c r="M39" i="1"/>
  <c r="N39" i="1" s="1"/>
  <c r="M38" i="1"/>
  <c r="N38" i="1" s="1"/>
  <c r="M37" i="1"/>
  <c r="N37" i="1" s="1"/>
  <c r="L49" i="1"/>
  <c r="M49" i="1" s="1"/>
  <c r="N49" i="1" s="1"/>
  <c r="L48" i="1"/>
  <c r="M48" i="1" s="1"/>
  <c r="N48" i="1" s="1"/>
  <c r="L47" i="1"/>
  <c r="M47" i="1" s="1"/>
  <c r="N47" i="1" s="1"/>
  <c r="L44" i="1"/>
  <c r="M44" i="1" s="1"/>
  <c r="N44" i="1" s="1"/>
  <c r="L43" i="1"/>
  <c r="M43" i="1" s="1"/>
  <c r="N43" i="1" s="1"/>
  <c r="L42" i="1"/>
  <c r="M42" i="1" s="1"/>
  <c r="N42" i="1" s="1"/>
  <c r="L41" i="1"/>
  <c r="M41" i="1" s="1"/>
  <c r="N41" i="1" s="1"/>
  <c r="Q40" i="1" l="1"/>
  <c r="R40" i="1" s="1"/>
  <c r="AH40" i="1" s="1"/>
  <c r="AG40" i="1" s="1"/>
  <c r="Q46" i="1"/>
  <c r="R46" i="1" s="1"/>
  <c r="AH46" i="1" s="1"/>
  <c r="AG46" i="1" s="1"/>
  <c r="Q48" i="1"/>
  <c r="R48" i="1" s="1"/>
  <c r="AH48" i="1" s="1"/>
  <c r="AG48" i="1" s="1"/>
  <c r="Q50" i="1"/>
  <c r="R50" i="1" s="1"/>
  <c r="AH50" i="1" s="1"/>
  <c r="AG50" i="1" s="1"/>
  <c r="Q53" i="1"/>
  <c r="R53" i="1" s="1"/>
  <c r="AH53" i="1" s="1"/>
  <c r="AG53" i="1" s="1"/>
  <c r="Q42" i="1"/>
  <c r="R42" i="1" s="1"/>
  <c r="AH42" i="1" s="1"/>
  <c r="AG42" i="1" s="1"/>
  <c r="Q47" i="1"/>
  <c r="R47" i="1" s="1"/>
  <c r="AH47" i="1" s="1"/>
  <c r="AG47" i="1" s="1"/>
  <c r="Q51" i="1"/>
  <c r="R51" i="1" s="1"/>
  <c r="AH51" i="1" s="1"/>
  <c r="AG51" i="1" s="1"/>
  <c r="Q38" i="1"/>
  <c r="R38" i="1" s="1"/>
  <c r="AH38" i="1" s="1"/>
  <c r="AG38" i="1" s="1"/>
  <c r="AG60" i="1"/>
  <c r="AI60" i="1" s="1"/>
  <c r="AG58" i="1"/>
  <c r="AI58" i="1" s="1"/>
  <c r="AH61" i="1"/>
  <c r="AG56" i="1"/>
  <c r="AI56" i="1" s="1"/>
  <c r="AH57" i="1"/>
  <c r="AG57" i="1" s="1"/>
  <c r="AI57" i="1" s="1"/>
  <c r="AJ56" i="1" s="1"/>
  <c r="AH59" i="1"/>
  <c r="AG59" i="1" s="1"/>
  <c r="AI59" i="1" s="1"/>
  <c r="AJ58" i="1" s="1"/>
  <c r="N46" i="1"/>
  <c r="AD46" i="1" s="1"/>
  <c r="N50" i="1"/>
  <c r="S44" i="1"/>
  <c r="S49" i="1"/>
  <c r="S37" i="1"/>
  <c r="R37" i="1"/>
  <c r="AH37" i="1" s="1"/>
  <c r="AG37" i="1" s="1"/>
  <c r="S41" i="1"/>
  <c r="R41" i="1"/>
  <c r="AH41" i="1" s="1"/>
  <c r="AG41" i="1" s="1"/>
  <c r="S39" i="1"/>
  <c r="R39" i="1"/>
  <c r="AH39" i="1" s="1"/>
  <c r="AG39" i="1" s="1"/>
  <c r="S43" i="1"/>
  <c r="R43" i="1"/>
  <c r="AH43" i="1" s="1"/>
  <c r="AG43" i="1" s="1"/>
  <c r="AD39" i="1"/>
  <c r="AD44" i="1"/>
  <c r="AD37" i="1"/>
  <c r="AD41" i="1"/>
  <c r="AD43" i="1"/>
  <c r="AD49" i="1"/>
  <c r="AD38" i="1"/>
  <c r="AD40" i="1"/>
  <c r="AD42" i="1"/>
  <c r="R44" i="1"/>
  <c r="AH44" i="1" s="1"/>
  <c r="AD47" i="1"/>
  <c r="S48" i="1"/>
  <c r="R49" i="1"/>
  <c r="AH49" i="1" s="1"/>
  <c r="AG49" i="1" s="1"/>
  <c r="AD51" i="1"/>
  <c r="AD48" i="1"/>
  <c r="AD50" i="1"/>
  <c r="AD53" i="1"/>
  <c r="S47" i="1" l="1"/>
  <c r="S40" i="1"/>
  <c r="S51" i="1"/>
  <c r="S53" i="1"/>
  <c r="S38" i="1"/>
  <c r="S42" i="1"/>
  <c r="S46" i="1"/>
  <c r="S50" i="1"/>
  <c r="AH52" i="1"/>
  <c r="AG52" i="1" s="1"/>
  <c r="AG61" i="1"/>
  <c r="AI61" i="1" s="1"/>
  <c r="AJ60" i="1" s="1"/>
  <c r="AG44" i="1"/>
  <c r="AH45" i="1"/>
  <c r="AG45" i="1" s="1"/>
  <c r="AF48" i="1"/>
  <c r="AE48" i="1"/>
  <c r="AI48" i="1" s="1"/>
  <c r="AJ48" i="1" s="1"/>
  <c r="AE47" i="1"/>
  <c r="AI47" i="1" s="1"/>
  <c r="AJ47" i="1" s="1"/>
  <c r="AF47" i="1"/>
  <c r="AF40" i="1"/>
  <c r="AE40" i="1"/>
  <c r="AI40" i="1" s="1"/>
  <c r="AJ40" i="1" s="1"/>
  <c r="AE39" i="1"/>
  <c r="AI39" i="1" s="1"/>
  <c r="AJ39" i="1" s="1"/>
  <c r="AF39" i="1"/>
  <c r="AF50" i="1"/>
  <c r="AE50" i="1"/>
  <c r="AI50" i="1" s="1"/>
  <c r="AJ50" i="1" s="1"/>
  <c r="AE51" i="1"/>
  <c r="AI51" i="1" s="1"/>
  <c r="AF51" i="1"/>
  <c r="AD52" i="1" s="1"/>
  <c r="AF53" i="1"/>
  <c r="AE53" i="1"/>
  <c r="AI53" i="1" s="1"/>
  <c r="AJ53" i="1" s="1"/>
  <c r="AF46" i="1"/>
  <c r="AE46" i="1"/>
  <c r="AI46" i="1" s="1"/>
  <c r="AJ46" i="1" s="1"/>
  <c r="AF42" i="1"/>
  <c r="AE42" i="1"/>
  <c r="AI42" i="1" s="1"/>
  <c r="AJ42" i="1" s="1"/>
  <c r="AF38" i="1"/>
  <c r="AE38" i="1"/>
  <c r="AI38" i="1" s="1"/>
  <c r="AJ38" i="1" s="1"/>
  <c r="AE49" i="1"/>
  <c r="AI49" i="1" s="1"/>
  <c r="AJ49" i="1" s="1"/>
  <c r="AF49" i="1"/>
  <c r="AE43" i="1"/>
  <c r="AI43" i="1" s="1"/>
  <c r="AJ43" i="1" s="1"/>
  <c r="AF43" i="1"/>
  <c r="AE41" i="1"/>
  <c r="AI41" i="1" s="1"/>
  <c r="AJ41" i="1" s="1"/>
  <c r="AF41" i="1"/>
  <c r="AE37" i="1"/>
  <c r="AI37" i="1" s="1"/>
  <c r="AJ37" i="1" s="1"/>
  <c r="AF37" i="1"/>
  <c r="AE44" i="1"/>
  <c r="AF44" i="1"/>
  <c r="AD45" i="1" s="1"/>
  <c r="AI44" i="1" l="1"/>
  <c r="AJ44" i="1" s="1"/>
  <c r="AE45" i="1"/>
  <c r="AI45" i="1" s="1"/>
  <c r="AJ45" i="1" s="1"/>
  <c r="AF45" i="1"/>
  <c r="AE52" i="1"/>
  <c r="AI52" i="1" s="1"/>
  <c r="AJ51" i="1" s="1"/>
  <c r="AF52" i="1"/>
  <c r="Y36" i="1" l="1"/>
  <c r="V36" i="1"/>
  <c r="Y35" i="1"/>
  <c r="V35" i="1"/>
  <c r="Y34" i="1"/>
  <c r="V34" i="1"/>
  <c r="Y33" i="1"/>
  <c r="V33" i="1"/>
  <c r="M36" i="1"/>
  <c r="M35" i="1"/>
  <c r="L34" i="1"/>
  <c r="M34" i="1" s="1"/>
  <c r="L33" i="1"/>
  <c r="M33" i="1" s="1"/>
  <c r="Q35" i="1" l="1"/>
  <c r="R35" i="1" s="1"/>
  <c r="AH35" i="1" s="1"/>
  <c r="AG35" i="1" s="1"/>
  <c r="Q33" i="1"/>
  <c r="S33" i="1" s="1"/>
  <c r="Q34" i="1"/>
  <c r="R34" i="1" s="1"/>
  <c r="AH34" i="1" s="1"/>
  <c r="AG34" i="1" s="1"/>
  <c r="Q36" i="1"/>
  <c r="R36" i="1" s="1"/>
  <c r="AH36" i="1" s="1"/>
  <c r="AG36" i="1" s="1"/>
  <c r="N33" i="1"/>
  <c r="AD33" i="1" s="1"/>
  <c r="N34" i="1"/>
  <c r="AD34" i="1" s="1"/>
  <c r="N35" i="1"/>
  <c r="AD35" i="1" s="1"/>
  <c r="N36" i="1"/>
  <c r="AD36" i="1" s="1"/>
  <c r="S35" i="1" l="1"/>
  <c r="S34" i="1"/>
  <c r="R33" i="1"/>
  <c r="AH33" i="1" s="1"/>
  <c r="AG33" i="1" s="1"/>
  <c r="S36" i="1"/>
  <c r="AE36" i="1"/>
  <c r="AI36" i="1" s="1"/>
  <c r="AJ36" i="1" s="1"/>
  <c r="AF36" i="1"/>
  <c r="AE35" i="1"/>
  <c r="AI35" i="1" s="1"/>
  <c r="AJ35" i="1" s="1"/>
  <c r="AF35" i="1"/>
  <c r="AE34" i="1"/>
  <c r="AI34" i="1" s="1"/>
  <c r="AJ34" i="1" s="1"/>
  <c r="AF34" i="1"/>
  <c r="AE33" i="1"/>
  <c r="AF33" i="1"/>
  <c r="AI33" i="1" l="1"/>
  <c r="AJ33" i="1" s="1"/>
  <c r="Y32" i="1"/>
  <c r="V32" i="1"/>
  <c r="Y31" i="1"/>
  <c r="V31" i="1"/>
  <c r="Y30" i="1"/>
  <c r="V30" i="1"/>
  <c r="Y29" i="1"/>
  <c r="V29" i="1"/>
  <c r="M32" i="1"/>
  <c r="M31" i="1"/>
  <c r="L29" i="1"/>
  <c r="M29" i="1" s="1"/>
  <c r="N29" i="1" l="1"/>
  <c r="AD29" i="1" s="1"/>
  <c r="N31" i="1"/>
  <c r="AD31" i="1" s="1"/>
  <c r="N32" i="1"/>
  <c r="AD32" i="1" s="1"/>
  <c r="AE32" i="1" l="1"/>
  <c r="AF32" i="1"/>
  <c r="AE31" i="1"/>
  <c r="AF31" i="1"/>
  <c r="AE29" i="1"/>
  <c r="AF29" i="1"/>
  <c r="AD30" i="1" s="1"/>
  <c r="AE30" i="1" l="1"/>
  <c r="AF30" i="1"/>
  <c r="Q31" i="1" l="1"/>
  <c r="Q29" i="1"/>
  <c r="Q32" i="1"/>
  <c r="R29" i="1" l="1"/>
  <c r="AH29" i="1" s="1"/>
  <c r="S29" i="1"/>
  <c r="R32" i="1"/>
  <c r="AH32" i="1" s="1"/>
  <c r="S32" i="1"/>
  <c r="R31" i="1"/>
  <c r="AH31" i="1" s="1"/>
  <c r="S31" i="1"/>
  <c r="AG32" i="1" l="1"/>
  <c r="AI32" i="1" s="1"/>
  <c r="AJ32" i="1" s="1"/>
  <c r="AG31" i="1"/>
  <c r="AI31" i="1" s="1"/>
  <c r="AJ31" i="1" s="1"/>
  <c r="AG29" i="1"/>
  <c r="AI29" i="1" s="1"/>
  <c r="AH30" i="1"/>
  <c r="AG30" i="1" s="1"/>
  <c r="AI30" i="1" l="1"/>
  <c r="AJ29" i="1"/>
  <c r="Y28" i="1"/>
  <c r="V28" i="1"/>
  <c r="Y27" i="1"/>
  <c r="V27" i="1"/>
  <c r="Y26" i="1"/>
  <c r="V26" i="1"/>
  <c r="Y25" i="1"/>
  <c r="V25" i="1"/>
  <c r="Y24" i="1"/>
  <c r="V24" i="1"/>
  <c r="Y23" i="1"/>
  <c r="V23" i="1"/>
  <c r="Y22" i="1"/>
  <c r="V22" i="1"/>
  <c r="Y21" i="1"/>
  <c r="V21" i="1"/>
  <c r="Y20" i="1"/>
  <c r="V20" i="1"/>
  <c r="Y19" i="1"/>
  <c r="V19" i="1"/>
  <c r="Y18" i="1"/>
  <c r="V18" i="1"/>
  <c r="Y17" i="1"/>
  <c r="V17" i="1"/>
  <c r="Y16" i="1"/>
  <c r="V16" i="1"/>
  <c r="Y15" i="1"/>
  <c r="V15" i="1"/>
  <c r="Y14" i="1"/>
  <c r="V14" i="1"/>
  <c r="M28" i="1"/>
  <c r="N28" i="1" s="1"/>
  <c r="M27" i="1"/>
  <c r="N27" i="1" s="1"/>
  <c r="M26" i="1"/>
  <c r="N26" i="1" s="1"/>
  <c r="M24" i="1"/>
  <c r="N24" i="1" s="1"/>
  <c r="M22" i="1"/>
  <c r="N22" i="1" s="1"/>
  <c r="M21" i="1"/>
  <c r="N21" i="1" s="1"/>
  <c r="M20" i="1"/>
  <c r="N20" i="1" s="1"/>
  <c r="M15" i="1"/>
  <c r="N15" i="1" s="1"/>
  <c r="M14" i="1"/>
  <c r="N14" i="1" s="1"/>
  <c r="L18" i="1"/>
  <c r="M18" i="1" s="1"/>
  <c r="N18" i="1" s="1"/>
  <c r="L16" i="1"/>
  <c r="M16" i="1" s="1"/>
  <c r="N16" i="1" s="1"/>
  <c r="AD15" i="1" l="1"/>
  <c r="AD17" i="1"/>
  <c r="AD18" i="1"/>
  <c r="AD20" i="1"/>
  <c r="AD22" i="1"/>
  <c r="AD26" i="1"/>
  <c r="AD14" i="1"/>
  <c r="AD16" i="1"/>
  <c r="AD21" i="1"/>
  <c r="AD24" i="1"/>
  <c r="AD27" i="1"/>
  <c r="AD28" i="1"/>
  <c r="AF14" i="1" l="1"/>
  <c r="AE14" i="1"/>
  <c r="AE24" i="1"/>
  <c r="AF24" i="1"/>
  <c r="AD25" i="1" s="1"/>
  <c r="AE21" i="1"/>
  <c r="AF21" i="1"/>
  <c r="AE26" i="1"/>
  <c r="AF26" i="1"/>
  <c r="AE20" i="1"/>
  <c r="AF20" i="1"/>
  <c r="AE18" i="1"/>
  <c r="AF18" i="1"/>
  <c r="AD19" i="1" s="1"/>
  <c r="AE17" i="1"/>
  <c r="AF17" i="1"/>
  <c r="AE28" i="1"/>
  <c r="AF28" i="1"/>
  <c r="AE27" i="1"/>
  <c r="AF27" i="1"/>
  <c r="AE16" i="1"/>
  <c r="AF16" i="1"/>
  <c r="AE22" i="1"/>
  <c r="AF22" i="1"/>
  <c r="AD23" i="1" s="1"/>
  <c r="AE15" i="1"/>
  <c r="AF15" i="1"/>
  <c r="AE23" i="1" l="1"/>
  <c r="AF23" i="1"/>
  <c r="AE19" i="1"/>
  <c r="AF19" i="1"/>
  <c r="AE25" i="1"/>
  <c r="AF25" i="1"/>
  <c r="Y13" i="1" l="1"/>
  <c r="V13" i="1"/>
  <c r="Y12" i="1"/>
  <c r="V12" i="1"/>
  <c r="Y11" i="1"/>
  <c r="V11" i="1"/>
  <c r="M11" i="1"/>
  <c r="N11" i="1" s="1"/>
  <c r="Y10" i="1"/>
  <c r="V10" i="1"/>
  <c r="Y9" i="1"/>
  <c r="V9" i="1"/>
  <c r="AD11" i="1" l="1"/>
  <c r="AE11" i="1" s="1"/>
  <c r="Q27" i="1"/>
  <c r="Q21" i="1"/>
  <c r="Q26" i="1"/>
  <c r="Q20" i="1"/>
  <c r="Q24" i="1"/>
  <c r="Q18" i="1"/>
  <c r="Q28" i="1"/>
  <c r="Q22" i="1"/>
  <c r="AF11" i="1" l="1"/>
  <c r="AD12" i="1" s="1"/>
  <c r="AE12" i="1" s="1"/>
  <c r="S22" i="1"/>
  <c r="R22" i="1"/>
  <c r="AH22" i="1" s="1"/>
  <c r="AG22" i="1" s="1"/>
  <c r="AI22" i="1" s="1"/>
  <c r="R18" i="1"/>
  <c r="AH18" i="1" s="1"/>
  <c r="S18" i="1"/>
  <c r="S26" i="1"/>
  <c r="R26" i="1"/>
  <c r="AH26" i="1" s="1"/>
  <c r="R21" i="1"/>
  <c r="AH21" i="1" s="1"/>
  <c r="AG21" i="1" s="1"/>
  <c r="AI21" i="1" s="1"/>
  <c r="AJ21" i="1" s="1"/>
  <c r="S21" i="1"/>
  <c r="S28" i="1"/>
  <c r="R28" i="1"/>
  <c r="AH28" i="1" s="1"/>
  <c r="AG28" i="1" s="1"/>
  <c r="AI28" i="1" s="1"/>
  <c r="AJ28" i="1" s="1"/>
  <c r="R24" i="1"/>
  <c r="AH24" i="1" s="1"/>
  <c r="S24" i="1"/>
  <c r="S20" i="1"/>
  <c r="R20" i="1"/>
  <c r="AH20" i="1" s="1"/>
  <c r="R27" i="1"/>
  <c r="AH27" i="1" s="1"/>
  <c r="AG27" i="1" s="1"/>
  <c r="AI27" i="1" s="1"/>
  <c r="AJ27" i="1" s="1"/>
  <c r="S27" i="1"/>
  <c r="AF12" i="1" l="1"/>
  <c r="AD13" i="1" s="1"/>
  <c r="Q11" i="1"/>
  <c r="R11" i="1" s="1"/>
  <c r="AH11" i="1" s="1"/>
  <c r="AH12" i="1" s="1"/>
  <c r="Q16" i="1"/>
  <c r="Q15" i="1"/>
  <c r="Q14" i="1"/>
  <c r="AE13" i="1"/>
  <c r="AF13" i="1"/>
  <c r="AG26" i="1"/>
  <c r="AI26" i="1" s="1"/>
  <c r="AJ26" i="1" s="1"/>
  <c r="AG20" i="1"/>
  <c r="AI20" i="1" s="1"/>
  <c r="AJ20" i="1" s="1"/>
  <c r="AG24" i="1"/>
  <c r="AI24" i="1" s="1"/>
  <c r="AH25" i="1"/>
  <c r="AG25" i="1" s="1"/>
  <c r="AG18" i="1"/>
  <c r="AI18" i="1" s="1"/>
  <c r="AH19" i="1"/>
  <c r="AG19" i="1" s="1"/>
  <c r="S11" i="1"/>
  <c r="AG11" i="1" l="1"/>
  <c r="AI11" i="1" s="1"/>
  <c r="S14" i="1"/>
  <c r="R14" i="1"/>
  <c r="AH14" i="1" s="1"/>
  <c r="AG14" i="1" s="1"/>
  <c r="AI14" i="1" s="1"/>
  <c r="AJ14" i="1" s="1"/>
  <c r="R15" i="1"/>
  <c r="AH15" i="1" s="1"/>
  <c r="AG15" i="1" s="1"/>
  <c r="AI15" i="1" s="1"/>
  <c r="AJ15" i="1" s="1"/>
  <c r="S15" i="1"/>
  <c r="R16" i="1"/>
  <c r="AH16" i="1" s="1"/>
  <c r="S16" i="1"/>
  <c r="AI25" i="1"/>
  <c r="AJ24" i="1"/>
  <c r="AI19" i="1"/>
  <c r="AJ18" i="1"/>
  <c r="AG12" i="1"/>
  <c r="AI12" i="1" s="1"/>
  <c r="AH13" i="1"/>
  <c r="AG13" i="1" s="1"/>
  <c r="AI13" i="1" s="1"/>
  <c r="AJ11" i="1" s="1"/>
  <c r="AG16" i="1" l="1"/>
  <c r="AI16" i="1" s="1"/>
  <c r="AH23" i="1"/>
  <c r="AG23" i="1" s="1"/>
  <c r="AH17" i="1"/>
  <c r="AG17" i="1" s="1"/>
  <c r="J6" i="18"/>
  <c r="N6" i="18"/>
  <c r="R6" i="18"/>
  <c r="V6" i="18"/>
  <c r="Z6" i="18"/>
  <c r="H8" i="18"/>
  <c r="J8" i="18"/>
  <c r="L8" i="18"/>
  <c r="N8" i="18"/>
  <c r="P8" i="18"/>
  <c r="R8" i="18"/>
  <c r="T8" i="18"/>
  <c r="V8" i="18"/>
  <c r="X8" i="18"/>
  <c r="Z8" i="18"/>
  <c r="J10" i="18"/>
  <c r="N10" i="18"/>
  <c r="R10" i="18"/>
  <c r="V10" i="18"/>
  <c r="Z10" i="18"/>
  <c r="H12" i="18"/>
  <c r="J12" i="18"/>
  <c r="L12" i="18"/>
  <c r="N12" i="18"/>
  <c r="P12" i="18"/>
  <c r="R12" i="18"/>
  <c r="T12" i="18"/>
  <c r="V12" i="18"/>
  <c r="X12" i="18"/>
  <c r="Z12" i="18"/>
  <c r="J14" i="18"/>
  <c r="N14" i="18"/>
  <c r="R14" i="18"/>
  <c r="V14" i="18"/>
  <c r="Z14" i="18"/>
  <c r="H16" i="18"/>
  <c r="J16" i="18"/>
  <c r="L16" i="18"/>
  <c r="N16" i="18"/>
  <c r="P16" i="18"/>
  <c r="R16" i="18"/>
  <c r="T16" i="18"/>
  <c r="V16" i="18"/>
  <c r="X16" i="18"/>
  <c r="Z16" i="18"/>
  <c r="J18" i="18"/>
  <c r="N18" i="18"/>
  <c r="R18" i="18"/>
  <c r="V18" i="18"/>
  <c r="Z18" i="18"/>
  <c r="H20" i="18"/>
  <c r="J20" i="18"/>
  <c r="L20" i="18"/>
  <c r="N20" i="18"/>
  <c r="P20" i="18"/>
  <c r="R20" i="18"/>
  <c r="T20" i="18"/>
  <c r="V20" i="18"/>
  <c r="X20" i="18"/>
  <c r="Z20" i="18"/>
  <c r="J22" i="18"/>
  <c r="N22" i="18"/>
  <c r="R22" i="18"/>
  <c r="V22" i="18"/>
  <c r="Z22" i="18"/>
  <c r="H24" i="18"/>
  <c r="J24" i="18"/>
  <c r="L24" i="18"/>
  <c r="N24" i="18"/>
  <c r="P24" i="18"/>
  <c r="R24" i="18"/>
  <c r="T24" i="18"/>
  <c r="V24" i="18"/>
  <c r="X24" i="18"/>
  <c r="Z24" i="18"/>
  <c r="I6" i="19"/>
  <c r="L6" i="19"/>
  <c r="O6" i="19"/>
  <c r="R6" i="19"/>
  <c r="U6" i="19"/>
  <c r="H7" i="19"/>
  <c r="I7" i="19"/>
  <c r="J7" i="19"/>
  <c r="K7" i="19"/>
  <c r="L7" i="19"/>
  <c r="M7" i="19"/>
  <c r="N7" i="19"/>
  <c r="O7" i="19"/>
  <c r="P7" i="19"/>
  <c r="Q7" i="19"/>
  <c r="R7" i="19"/>
  <c r="S7" i="19"/>
  <c r="T7" i="19"/>
  <c r="U7" i="19"/>
  <c r="V7" i="19"/>
  <c r="H8" i="19"/>
  <c r="I8" i="19"/>
  <c r="J8" i="19"/>
  <c r="K8" i="19"/>
  <c r="L8" i="19"/>
  <c r="M8" i="19"/>
  <c r="N8" i="19"/>
  <c r="O8" i="19"/>
  <c r="P8" i="19"/>
  <c r="Q8" i="19"/>
  <c r="R8" i="19"/>
  <c r="S8" i="19"/>
  <c r="T8" i="19"/>
  <c r="U8" i="19"/>
  <c r="V8" i="19"/>
  <c r="H9" i="19"/>
  <c r="I9" i="19"/>
  <c r="J9" i="19"/>
  <c r="K9" i="19"/>
  <c r="L9" i="19"/>
  <c r="M9" i="19"/>
  <c r="N9" i="19"/>
  <c r="O9" i="19"/>
  <c r="P9" i="19"/>
  <c r="Q9" i="19"/>
  <c r="R9" i="19"/>
  <c r="S9" i="19"/>
  <c r="T9" i="19"/>
  <c r="U9" i="19"/>
  <c r="V9" i="19"/>
  <c r="I10" i="19"/>
  <c r="L10" i="19"/>
  <c r="O10" i="19"/>
  <c r="R10" i="19"/>
  <c r="U10" i="19"/>
  <c r="H11" i="19"/>
  <c r="I11" i="19"/>
  <c r="J11" i="19"/>
  <c r="K11" i="19"/>
  <c r="L11" i="19"/>
  <c r="M11" i="19"/>
  <c r="N11" i="19"/>
  <c r="O11" i="19"/>
  <c r="P11" i="19"/>
  <c r="Q11" i="19"/>
  <c r="R11" i="19"/>
  <c r="S11" i="19"/>
  <c r="T11" i="19"/>
  <c r="U11" i="19"/>
  <c r="V11" i="19"/>
  <c r="H12" i="19"/>
  <c r="I12" i="19"/>
  <c r="J12" i="19"/>
  <c r="K12" i="19"/>
  <c r="L12" i="19"/>
  <c r="M12" i="19"/>
  <c r="N12" i="19"/>
  <c r="O12" i="19"/>
  <c r="P12" i="19"/>
  <c r="Q12" i="19"/>
  <c r="R12" i="19"/>
  <c r="S12" i="19"/>
  <c r="T12" i="19"/>
  <c r="U12" i="19"/>
  <c r="V12" i="19"/>
  <c r="H13" i="19"/>
  <c r="I13" i="19"/>
  <c r="J13" i="19"/>
  <c r="K13" i="19"/>
  <c r="L13" i="19"/>
  <c r="M13" i="19"/>
  <c r="N13" i="19"/>
  <c r="O13" i="19"/>
  <c r="P13" i="19"/>
  <c r="Q13" i="19"/>
  <c r="R13" i="19"/>
  <c r="S13" i="19"/>
  <c r="T13" i="19"/>
  <c r="U13" i="19"/>
  <c r="V13" i="19"/>
  <c r="I14" i="19"/>
  <c r="L14" i="19"/>
  <c r="O14" i="19"/>
  <c r="R14" i="19"/>
  <c r="U14" i="19"/>
  <c r="H15" i="19"/>
  <c r="I15" i="19"/>
  <c r="J15" i="19"/>
  <c r="K15" i="19"/>
  <c r="L15" i="19"/>
  <c r="M15" i="19"/>
  <c r="N15" i="19"/>
  <c r="O15" i="19"/>
  <c r="P15" i="19"/>
  <c r="Q15" i="19"/>
  <c r="R15" i="19"/>
  <c r="S15" i="19"/>
  <c r="T15" i="19"/>
  <c r="U15" i="19"/>
  <c r="V15" i="19"/>
  <c r="H16" i="19"/>
  <c r="I16" i="19"/>
  <c r="J16" i="19"/>
  <c r="K16" i="19"/>
  <c r="L16" i="19"/>
  <c r="M16" i="19"/>
  <c r="N16" i="19"/>
  <c r="O16" i="19"/>
  <c r="P16" i="19"/>
  <c r="Q16" i="19"/>
  <c r="R16" i="19"/>
  <c r="S16" i="19"/>
  <c r="T16" i="19"/>
  <c r="U16" i="19"/>
  <c r="V16" i="19"/>
  <c r="H17" i="19"/>
  <c r="I17" i="19"/>
  <c r="J17" i="19"/>
  <c r="K17" i="19"/>
  <c r="L17" i="19"/>
  <c r="M17" i="19"/>
  <c r="N17" i="19"/>
  <c r="O17" i="19"/>
  <c r="P17" i="19"/>
  <c r="Q17" i="19"/>
  <c r="R17" i="19"/>
  <c r="S17" i="19"/>
  <c r="T17" i="19"/>
  <c r="U17" i="19"/>
  <c r="V17" i="19"/>
  <c r="I18" i="19"/>
  <c r="L18" i="19"/>
  <c r="O18" i="19"/>
  <c r="R18" i="19"/>
  <c r="U18" i="19"/>
  <c r="H19" i="19"/>
  <c r="I19" i="19"/>
  <c r="J19" i="19"/>
  <c r="K19" i="19"/>
  <c r="L19" i="19"/>
  <c r="M19" i="19"/>
  <c r="N19" i="19"/>
  <c r="O19" i="19"/>
  <c r="P19" i="19"/>
  <c r="Q19" i="19"/>
  <c r="R19" i="19"/>
  <c r="S19" i="19"/>
  <c r="T19" i="19"/>
  <c r="U19" i="19"/>
  <c r="V19" i="19"/>
  <c r="H20" i="19"/>
  <c r="I20" i="19"/>
  <c r="J20" i="19"/>
  <c r="K20" i="19"/>
  <c r="L20" i="19"/>
  <c r="M20" i="19"/>
  <c r="N20" i="19"/>
  <c r="O20" i="19"/>
  <c r="P20" i="19"/>
  <c r="Q20" i="19"/>
  <c r="R20" i="19"/>
  <c r="S20" i="19"/>
  <c r="T20" i="19"/>
  <c r="U20" i="19"/>
  <c r="V20" i="19"/>
  <c r="H21" i="19"/>
  <c r="I21" i="19"/>
  <c r="J21" i="19"/>
  <c r="K21" i="19"/>
  <c r="L21" i="19"/>
  <c r="M21" i="19"/>
  <c r="N21" i="19"/>
  <c r="O21" i="19"/>
  <c r="P21" i="19"/>
  <c r="Q21" i="19"/>
  <c r="R21" i="19"/>
  <c r="S21" i="19"/>
  <c r="T21" i="19"/>
  <c r="U21" i="19"/>
  <c r="V21" i="19"/>
  <c r="I22" i="19"/>
  <c r="L22" i="19"/>
  <c r="O22" i="19"/>
  <c r="R22" i="19"/>
  <c r="U22" i="19"/>
  <c r="H23" i="19"/>
  <c r="I23" i="19"/>
  <c r="J23" i="19"/>
  <c r="K23" i="19"/>
  <c r="L23" i="19"/>
  <c r="M23" i="19"/>
  <c r="N23" i="19"/>
  <c r="O23" i="19"/>
  <c r="P23" i="19"/>
  <c r="Q23" i="19"/>
  <c r="R23" i="19"/>
  <c r="S23" i="19"/>
  <c r="T23" i="19"/>
  <c r="U23" i="19"/>
  <c r="V23" i="19"/>
  <c r="H24" i="19"/>
  <c r="I24" i="19"/>
  <c r="J24" i="19"/>
  <c r="K24" i="19"/>
  <c r="L24" i="19"/>
  <c r="M24" i="19"/>
  <c r="N24" i="19"/>
  <c r="O24" i="19"/>
  <c r="P24" i="19"/>
  <c r="Q24" i="19"/>
  <c r="R24" i="19"/>
  <c r="S24" i="19"/>
  <c r="T24" i="19"/>
  <c r="U24" i="19"/>
  <c r="V24" i="19"/>
  <c r="M9" i="1"/>
  <c r="N9" i="1" s="1"/>
  <c r="Q9" i="1"/>
  <c r="R9" i="1" s="1"/>
  <c r="AJ16" i="1" l="1"/>
  <c r="AI17" i="1"/>
  <c r="AI23" i="1"/>
  <c r="AJ22" i="1"/>
  <c r="X22" i="18"/>
  <c r="H22" i="18"/>
  <c r="P18" i="18"/>
  <c r="X14" i="18"/>
  <c r="H14" i="18"/>
  <c r="P10" i="18"/>
  <c r="X6" i="18"/>
  <c r="H6" i="18"/>
  <c r="T22" i="18"/>
  <c r="L18" i="18"/>
  <c r="T14" i="18"/>
  <c r="L10" i="18"/>
  <c r="T6" i="18"/>
  <c r="P22" i="18"/>
  <c r="X18" i="18"/>
  <c r="H18" i="18"/>
  <c r="P14" i="18"/>
  <c r="X10" i="18"/>
  <c r="H10" i="18"/>
  <c r="P6" i="18"/>
  <c r="L22" i="18"/>
  <c r="T18" i="18"/>
  <c r="L14" i="18"/>
  <c r="T10" i="18"/>
  <c r="L6" i="18"/>
  <c r="AD9" i="1"/>
  <c r="AF9" i="1" s="1"/>
  <c r="AD10" i="1" s="1"/>
  <c r="S9" i="1"/>
  <c r="AH9" i="1"/>
  <c r="AH10" i="1" s="1"/>
  <c r="AE10" i="1" l="1"/>
  <c r="AF10" i="1"/>
  <c r="AG9" i="1"/>
  <c r="AG10" i="1"/>
  <c r="AE9" i="1"/>
  <c r="AI10" i="1" l="1"/>
  <c r="AJ9" i="1" s="1"/>
  <c r="AI9" i="1"/>
  <c r="S14" i="19"/>
  <c r="M10" i="19"/>
  <c r="M6" i="19"/>
  <c r="J14" i="19"/>
  <c r="V22" i="19"/>
  <c r="M22" i="19"/>
  <c r="P10" i="19"/>
  <c r="J22" i="19"/>
  <c r="J6" i="19"/>
  <c r="P14" i="19"/>
  <c r="V14" i="19"/>
  <c r="M14" i="19"/>
  <c r="P18" i="19"/>
  <c r="S22" i="19"/>
  <c r="S6" i="19"/>
  <c r="V18" i="19"/>
  <c r="V10" i="19"/>
  <c r="M18" i="19"/>
  <c r="P22" i="19"/>
  <c r="P6" i="19"/>
  <c r="J18" i="19"/>
  <c r="V6" i="19"/>
  <c r="J10" i="19"/>
  <c r="S18" i="19"/>
  <c r="S10" i="19"/>
  <c r="K18" i="19"/>
  <c r="K10" i="19"/>
  <c r="N6" i="19"/>
  <c r="N14" i="19"/>
  <c r="N22" i="19"/>
  <c r="H6" i="19"/>
  <c r="T10" i="19"/>
  <c r="H14" i="19"/>
  <c r="T18" i="19"/>
  <c r="H22" i="19"/>
  <c r="Q6" i="19"/>
  <c r="Q14" i="19"/>
  <c r="Q22" i="19"/>
  <c r="N10" i="19"/>
  <c r="N18" i="19"/>
  <c r="K6" i="19"/>
  <c r="K14" i="19"/>
  <c r="K22" i="19"/>
  <c r="T6" i="19"/>
  <c r="H10" i="19"/>
  <c r="T14" i="19"/>
  <c r="H18" i="19"/>
  <c r="T22" i="19"/>
  <c r="Q10" i="19"/>
  <c r="Q18" i="19"/>
  <c r="F221" i="13"/>
  <c r="F211" i="13"/>
  <c r="F212" i="13"/>
  <c r="F213" i="13"/>
  <c r="F214" i="13"/>
  <c r="F215" i="13"/>
  <c r="F216" i="13"/>
  <c r="F217" i="13"/>
  <c r="F218" i="13"/>
  <c r="F219" i="13"/>
  <c r="F220" i="13"/>
  <c r="F210" i="13"/>
  <c r="B221" i="13" a="1"/>
  <c r="V25" i="19" l="1"/>
  <c r="P25" i="19"/>
  <c r="J25" i="19"/>
  <c r="S25" i="19"/>
  <c r="M25" i="19"/>
  <c r="L25" i="19"/>
  <c r="U25" i="19"/>
  <c r="O25" i="19"/>
  <c r="I25" i="19"/>
  <c r="R25" i="19"/>
  <c r="K25" i="19"/>
  <c r="T25" i="19"/>
  <c r="N25" i="19"/>
  <c r="H25" i="19"/>
  <c r="Q25" i="19"/>
  <c r="B221" i="13"/>
  <c r="H21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user</author>
  </authors>
  <commentList>
    <comment ref="E7" authorId="0" shapeId="0" xr:uid="{00000000-0006-0000-0100-000001000000}">
      <text>
        <r>
          <rPr>
            <b/>
            <sz val="9"/>
            <color indexed="81"/>
            <rFont val="Tahoma"/>
            <family val="2"/>
          </rPr>
          <t>Lina Maria Patarroyo Parra:</t>
        </r>
        <r>
          <rPr>
            <sz val="9"/>
            <color indexed="81"/>
            <rFont val="Tahoma"/>
            <family val="2"/>
          </rPr>
          <t xml:space="preserve">
¿Qué puede salir mal? 
“Posibilidad de (riesgo) + respuesta del qué (consecuencia) + cómo (Causa) + por qué (Causa)…</t>
        </r>
      </text>
    </comment>
    <comment ref="F7" authorId="1" shapeId="0" xr:uid="{00000000-0006-0000-0100-000002000000}">
      <text>
        <r>
          <rPr>
            <b/>
            <sz val="9"/>
            <color indexed="81"/>
            <rFont val="Tahoma"/>
            <family val="2"/>
          </rPr>
          <t>¿Cómo puede ocurrir?
¿Por qué puede ocurrir?</t>
        </r>
      </text>
    </comment>
    <comment ref="G7" authorId="0" shapeId="0" xr:uid="{00000000-0006-0000-0100-000003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00000000-0006-0000-0100-000004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7" authorId="0" shapeId="0" xr:uid="{00000000-0006-0000-0100-000005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J7" authorId="0" shapeId="0" xr:uid="{00000000-0006-0000-0100-000006000000}">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K7" authorId="0" shapeId="0" xr:uid="{00000000-0006-0000-0100-000007000000}">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<sst xmlns="http://schemas.openxmlformats.org/spreadsheetml/2006/main" count="2199" uniqueCount="768">
  <si>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</si>
  <si>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</si>
  <si>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</si>
  <si>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</si>
  <si>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</si>
  <si>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</si>
  <si>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</si>
  <si>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</si>
  <si>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</si>
  <si>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</si>
  <si>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</si>
  <si>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</si>
  <si>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</si>
  <si>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</si>
  <si>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</si>
  <si>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</si>
  <si>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</si>
  <si>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</si>
  <si>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</si>
  <si>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</si>
  <si>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</si>
  <si>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</si>
  <si>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</si>
  <si>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</si>
  <si>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</si>
  <si>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</si>
  <si>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</si>
  <si>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</si>
  <si>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</si>
  <si>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</si>
  <si>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</si>
  <si>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</si>
  <si>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</si>
  <si>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</si>
  <si>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</si>
  <si>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</si>
  <si>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</si>
  <si>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</si>
  <si>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</si>
  <si>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</si>
  <si>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</si>
  <si>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</si>
  <si>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</si>
  <si>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</si>
  <si>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</si>
  <si>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</si>
  <si>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</si>
  <si>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</si>
  <si>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</si>
  <si>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</si>
  <si>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</si>
  <si>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</si>
  <si>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</si>
  <si>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</si>
  <si>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</si>
  <si>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</si>
  <si>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</si>
  <si>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</si>
  <si>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</si>
  <si>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</si>
  <si>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</si>
  <si>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</si>
  <si>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</si>
  <si>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</si>
  <si>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</si>
  <si>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</si>
  <si>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</si>
  <si>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</si>
  <si>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</si>
  <si>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</si>
  <si>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</si>
  <si>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</si>
  <si>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</si>
  <si>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</si>
  <si>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</si>
  <si>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</si>
  <si>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</si>
  <si>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</si>
  <si>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</si>
  <si>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</si>
  <si>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</si>
  <si>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</si>
  <si>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</si>
  <si>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</si>
  <si>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</si>
  <si>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</si>
  <si>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</si>
  <si>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</si>
  <si>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</si>
  <si>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</si>
  <si>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</si>
  <si>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</si>
  <si>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</si>
  <si>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</si>
  <si>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</si>
  <si>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</si>
  <si>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</si>
  <si>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</si>
  <si>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</si>
  <si>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</si>
  <si>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</si>
  <si>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</si>
  <si>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</si>
  <si>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</si>
  <si>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</si>
  <si>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</si>
  <si>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</si>
  <si>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</si>
  <si>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</si>
  <si>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</si>
  <si>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</si>
  <si>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</si>
  <si>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</si>
  <si>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</si>
  <si>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</si>
  <si>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</si>
  <si>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</si>
  <si>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</si>
  <si>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</si>
  <si>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</si>
  <si>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</si>
  <si>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</si>
  <si>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</si>
  <si>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</si>
  <si>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</si>
  <si>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</si>
  <si>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</si>
  <si>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</si>
  <si>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</si>
  <si>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</si>
  <si>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</si>
  <si>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</si>
  <si>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</si>
  <si>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</si>
  <si>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</si>
  <si>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</si>
  <si>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</si>
  <si>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</si>
  <si>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</si>
  <si>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</si>
  <si>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</si>
  <si>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</si>
  <si>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</si>
  <si>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</si>
  <si>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</si>
  <si>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</si>
  <si>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</si>
  <si>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</si>
  <si>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</si>
  <si>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</si>
  <si>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</si>
  <si>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</si>
  <si>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</si>
  <si>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</si>
  <si>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</si>
  <si>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</si>
  <si>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</si>
  <si>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</si>
  <si>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</si>
  <si>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</si>
  <si>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</si>
  <si>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</si>
  <si>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</si>
  <si>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</si>
  <si>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</si>
  <si>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</si>
  <si>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</si>
  <si>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</si>
  <si>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</si>
  <si>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</si>
  <si>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</si>
  <si>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</si>
  <si>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</si>
  <si>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</si>
  <si>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</si>
  <si>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</si>
  <si>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</si>
  <si>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</si>
  <si>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</si>
  <si>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</si>
  <si>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</si>
  <si>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</si>
  <si>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</si>
  <si>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</si>
  <si>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</si>
  <si>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</si>
  <si>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</si>
  <si>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</si>
  <si>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</si>
  <si>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</si>
  <si>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</si>
  <si>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</si>
  <si>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</si>
  <si>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</si>
  <si>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</si>
  <si>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</si>
  <si>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</si>
  <si>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Soporte Evidencia</t>
  </si>
  <si>
    <t>Indicador Producto</t>
  </si>
  <si>
    <t>ESE HOSPITAL UNIVERSITARIO SAN RAFAEL TUNJA</t>
  </si>
  <si>
    <t>VERSION: 01</t>
  </si>
  <si>
    <t>No. DEL RIESGO</t>
  </si>
  <si>
    <t>Subproceso</t>
  </si>
  <si>
    <t>Tipo de Riesgo</t>
  </si>
  <si>
    <t>No. Riesgo</t>
  </si>
  <si>
    <t xml:space="preserve">Permite definir un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</si>
  <si>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Subproceso al que pertenece</t>
  </si>
  <si>
    <t>Se encuentra parametrizada teniendo en cuenta la frecuencia con la cual se lleva acabo la actividad</t>
  </si>
  <si>
    <t xml:space="preserve">ESE HOSPITAL UNIVERSITARIO SAN RAFAEL DE TUNJA </t>
  </si>
  <si>
    <t>CONTROL DE CAMBIOS</t>
  </si>
  <si>
    <t>No. VERSION</t>
  </si>
  <si>
    <t>FECHA</t>
  </si>
  <si>
    <t xml:space="preserve"> RESPONSABLE </t>
  </si>
  <si>
    <t>DESCRIPCION</t>
  </si>
  <si>
    <t>Lina María Patarroyo Parra</t>
  </si>
  <si>
    <t>Creación de formato</t>
  </si>
  <si>
    <r>
      <t>CODIGO: OADS-F-</t>
    </r>
    <r>
      <rPr>
        <b/>
        <sz val="8"/>
        <color rgb="FFFF0000"/>
        <rFont val="Tahoma"/>
        <family val="2"/>
      </rPr>
      <t>XX</t>
    </r>
  </si>
  <si>
    <t>MAPA DE RIESGOS DE GESTIÓN</t>
  </si>
  <si>
    <r>
      <t>FECHA:</t>
    </r>
    <r>
      <rPr>
        <b/>
        <sz val="8"/>
        <color rgb="FFFF0000"/>
        <rFont val="Tahoma"/>
        <family val="2"/>
      </rPr>
      <t xml:space="preserve"> 24/05/2023</t>
    </r>
  </si>
  <si>
    <t>Corresponde al tipo de riesgos relacionados en el manual de getion de riesgos institucional (Gestión, seguridad de la información, sistema de gestión ambiental, sistema de Seguridad y salud en el trabajo, asistenciasles, clínicos, lavado de activos, financiación, Corrupción, Opacidad y fraude)</t>
  </si>
  <si>
    <t>Causas</t>
  </si>
  <si>
    <t>Consecuencias</t>
  </si>
  <si>
    <t>Categoria del Riesgo</t>
  </si>
  <si>
    <t>Clasificación del riesgo</t>
  </si>
  <si>
    <t>Factor del riesgo</t>
  </si>
  <si>
    <t xml:space="preserve">Control Interno </t>
  </si>
  <si>
    <t>Posibilidad de sanciones administrativas por
presentación extemporánea de informes requeridos
por los entes externos de control y/o Incumplimiento
del programa anual de auditorías debido a falta de
oportunidad en la entrega de la información requerida
a los procesos.</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</si>
  <si>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</si>
  <si>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Ejecución y Administración de procesos</t>
  </si>
  <si>
    <t xml:space="preserve">El profesional Universitario identifica previamente la información relevante y pertinente referente a:  informes periódicos, Requerimientos de órganos de control, Enlace de auditorías externas, el cual se consolidara en el formato OACI-F-11 Inventario de Presentación de Informes a los Entes Externos de Obligatorio Cumplimiento </t>
  </si>
  <si>
    <t xml:space="preserve">El profesional universitario según plan de auditoria,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</si>
  <si>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 xml:space="preserve">Formato  OACI-F-11 Inventario de Presentación de Informes a los Entes Externos de Obligatorio Cumplimiento  </t>
  </si>
  <si>
    <t>Pérdida de credibilidad y confiabilidad de la OCI y Desviación  del sistema de control interno  por inexactitud  en la elaboración y presentación de los informes de auditoria debido a errores o inconsistencias durante  la evaluación de la efectividad de los controles del sistema de control interno</t>
  </si>
  <si>
    <t>Actividades sin control
Carencia de evidencia objetiva del desempeño de actividades, Falta de planeción, errores en la determinación de fuentes de información y criterios legales</t>
  </si>
  <si>
    <t>El jefe de control interno según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</si>
  <si>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Plan Anual de auditoria OACI-F-02
Plan de auditoria OACI-F-04</t>
  </si>
  <si>
    <t>El jefe de control interno según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OACI-F-17</t>
  </si>
  <si>
    <t>Plan de auditoria OACI-F-04, formato informe preliminar OACI-F-17, acta de reunión CA-F-18.</t>
  </si>
  <si>
    <t>El jefe de control interno según plan de auditoria  revisa el informe  final de auditoría para constatar que las observaciones de los auditados fueron analizadas por el equipo auditor, verificara la redacción de hallazgos y observación y  procederá a radicar el informe definitivo en la gerencia. En cumplimiento a lo establecido en el Realización de auditorias internas OACI-PR-02, dejando evidencias en los formatos Informe final de Auditorias Cód.: OACI-F-16</t>
  </si>
  <si>
    <t>Informe de Auditorias Cód.: OACI-F-16.</t>
  </si>
  <si>
    <t>GESTION FINANCIERA</t>
  </si>
  <si>
    <t>Presupuesto</t>
  </si>
  <si>
    <t>Presupuesto
Contabilidad
Tesorería</t>
  </si>
  <si>
    <t>Tesoreria</t>
  </si>
  <si>
    <t>Contabilidad</t>
  </si>
  <si>
    <t xml:space="preserve">Posibilidad de  sanciones por entes de control debido a  inconsistencias en la información durante la expedicion de los Certificados de Disponibilidad y Registro Presupuestal sin lleno de requisitos o afectacion equivocada de rubros presupuestales </t>
  </si>
  <si>
    <t>Posibilidad de sanciones por incumplimiento en la legalización oportuna y/o inadecuado manejo de la caja menor</t>
  </si>
  <si>
    <t>Posibilidad de Pérdida de recursos económicos y sanciones por debilidades en el manejo y custodia del efectivo</t>
  </si>
  <si>
    <t>Posibilidad de sanciones por revelación de estados financieros con incosistencias en la depuración de las concilicaciones bancarias</t>
  </si>
  <si>
    <t>Posibilidad de sanciones de los entes de control por no presentación adecuada de la información de los estados de tesoreria</t>
  </si>
  <si>
    <t>Posibilidad de que se origine una incapacidad financiera de la entidad para respaldar gastos necesario para su funcionamiento y operación debido a la una inadecuada planeación de necesidades para la vigencia fiscal</t>
  </si>
  <si>
    <t xml:space="preserve">Posibilidad de sanciones por presentar estados financieros sin el cumpllimiento del Marco Normativo aplicable a la entidad. </t>
  </si>
  <si>
    <t>Posibilidad de sanciones por presentar estados financieros sin el adecuado reconocimiento de los registros contables</t>
  </si>
  <si>
    <t>Posibilidad de sanciones por incorrecta medición posterior reveleda en estados financieros relacionada con los activos y pasivos de la entidad</t>
  </si>
  <si>
    <t xml:space="preserve">Posibilidad de sanciones disciplinarias y pecunarias por la consolidación de estados financieros sin los atributos exigidos y presentación extemporanea a entes de inspección, vigilancia y control.  </t>
  </si>
  <si>
    <t>Interpretacion inadecuada de la afectacion de los rubros presupuestales.
Exposicion a condiciones de mercado de alta variabilidad en regulación.</t>
  </si>
  <si>
    <t xml:space="preserve">Ausencia de un procedimiento documentado
Falta de controles establecidos.
Falta de mecanismos claros de seguimiento y monitoreo.
Inadecuada socialización del funcionamiento y manejo de caja menor con los procesos involucrados. </t>
  </si>
  <si>
    <t>Error en digitación.
Inconsistencia de los valores facturados, frente al valor del bien o servicio recibido.</t>
  </si>
  <si>
    <t xml:space="preserve">Falta de controles permanentes sobre efectivo y los encargados de su manejo.
 Inobservancia del cumplimiento de normatividad aplicable al aseguramiento de los bienes y recursos del estado.
Vulnerabilidad del control del responsable de arqueos.
</t>
  </si>
  <si>
    <t>Debilidades la presentación del formato Libro de Bancos con código AF-F-03.
Falta de seguimiento y control a partidas conciliatorias.
Ausencia de depuración contable permanente y sostenible</t>
  </si>
  <si>
    <t>Desconocimiento de procedimientos y formatos establecidos
Debilidad en controles que conlleven al cumplimiento de las funciones asignadas.</t>
  </si>
  <si>
    <t>Inadecuada planeación de las áreas en las proyecciones de necesidades</t>
  </si>
  <si>
    <t>Desconocimiento de parte de los funcionarios involucrados en el proceso contable en cuanto al Manual de políticas contables y normatividad vigente relacionada</t>
  </si>
  <si>
    <t>Inconsistencias en la información reportada a contabilidad como insumo de la elaboración de los Estados Financieros.</t>
  </si>
  <si>
    <t>Inadecuada aplicación de los procedimientos establecidos para la medición de posterior de los activos y pasivos de la entidad.</t>
  </si>
  <si>
    <t xml:space="preserve">Omisión y inoportunidad en la presentacion de los estados financieros a los entes internos y externos generación de los documentos que soportan la totalidad de  los hechos economicos (Factura de venta, recibos de ingresos, cuentas por pagar, comprobantes de egreso, comprobantes de ingreso de activos etc) </t>
  </si>
  <si>
    <t xml:space="preserve">El Técnico Administrativo de presupuesto, según necesidad, verifica que la solicitud de expedición de CDP sea clara y objetiva y revisa que exista el rubro presupuestal conforme a lo definido en el Procedimiento AF-PR-02 Expedición de Certificado de Disponibilidad Presupuestal </t>
  </si>
  <si>
    <t>Consolidado de reintegro de CDP</t>
  </si>
  <si>
    <t>El grupo de gestión financiera mensualmente verifica presupuestal, contable y tesoralmente la ejecución y cumplimiento de la caja menor de acuerdo a lo establecido en el procedimiento AF-PR-21 y en la Resolución 470 de 2022 de  de caja menor</t>
  </si>
  <si>
    <t>Resolución   470 de 2022
Formato AF-F-21</t>
  </si>
  <si>
    <t>El tesorero mensualmente verifica que los pagos de nómina correspondan a lo liquidado por talento humano según lo descrito en el procedimiento AF-PR-39 dejando como registro acta de verificación</t>
  </si>
  <si>
    <t>Formato AF-F-01</t>
  </si>
  <si>
    <t>El técnico administrativo de tesoreria diariamente garantiza un eficiente recuado producto de los diferentes pagos realizados con el fin de obtener información ágil y veraz de acuerdo a lo establecido en el procedimiento AF-PR-31  Recaudo de caja mediante los formatos AF-F-06 Boletín diario de caja y AF-F-05 Boletín de depositos</t>
  </si>
  <si>
    <t>Formatos AF-F-06 Boletín diario de caja y AF-F-05 Boletín de depositos</t>
  </si>
  <si>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 AF-F-04 Libro de conciliaciones</t>
  </si>
  <si>
    <t>Formato AF-F-03 libro de bancos
AF-F-04 Libro de Concilaiciones</t>
  </si>
  <si>
    <t>El tesorero mensualmente realiza el movimiento de las transacciones finacieras por entidad bancaria de acuerdo al procidimiento AF-PR-10 Informes de Estado de Tesorería mediante el formato AF-F-20 Estado de Tesorería</t>
  </si>
  <si>
    <t>AF-F-20 Estado de Tesorería</t>
  </si>
  <si>
    <t>El coordinador financiero según lo definido en cronograma de planeación presupuestal, realiza mesas de trabajo con los líderes de proceso y la subgerencia respectiva a fin de aseguar que lo planeado por cada uno, quede incluido en el presupuesto intitucional, de acuerdo a lo establecido en la circular de planeación presupuestal emitida en cada vigencia, quedando como evidencia las actas de reunión en formato CA-F-18</t>
  </si>
  <si>
    <t>Actas de reunión, circular de Planeación presupuestal</t>
  </si>
  <si>
    <t>El coordinador financiero una vez al año consolida las necesidades de la insititución emitidas por cada proceso y subgerencia de acuerdo a lo establecido en el procedimiento AF-PR-01 Elaboración de presupuesto de ingresos y gastos a través del fotmato AF-F-19 Planeación de necesidades</t>
  </si>
  <si>
    <t>Formato AF-F-19 Planeación de necesidades</t>
  </si>
  <si>
    <t xml:space="preserve">El contador junto con las áreas involucradas Verifican periodicamente el Manual de políticas contables  adoptado por la ESE, así como procedimientos asociados al proceso contable a fin de identificar si requieren actualización y socializarlos en los casos a que haya lugar verificando el cumplimiento de la politica contable quedando como evidencia acta de reunión  </t>
  </si>
  <si>
    <t>Actas de reunión</t>
  </si>
  <si>
    <t>Los integrantes del comité sostenibilidad A través de sesiones de comité hacen seguimiento a los puntos que requieren de un control especial frente a la verificación de cumplimiento de politicas contables, quedado como evidencia actas de comité</t>
  </si>
  <si>
    <t>Actas de comité de sostenibildiad</t>
  </si>
  <si>
    <t>El contador de la institución  periodicamente realiza conciliación con las áreas productoras de información financiera insumo para la elaboración de los estados financieros,  a fin de establecer la correcta identificación, clasificación, medición y registro de las operaciones contables, dejando como evidencia actas de conciliación</t>
  </si>
  <si>
    <t>Actas de conciliación con las áreas productoras de información financiera</t>
  </si>
  <si>
    <t>El contador junto con las áreas involucradas en el proceso trimestralmente verifican la información reportada  y realizaran  conciliaciones relacionadas con deterioro de cartera, provisiones, depreciaciones de activos fijos  y bjas en cuentas, de acuerdo a lo establecido en la resolución 048 de 2021 del flujo de la información financiera, dejando como evidencia las certificaciones y actas de conciliación</t>
  </si>
  <si>
    <t>Actas de conciliación 
certificaciones (cuando sea el caso)</t>
  </si>
  <si>
    <t>El contador de la institución mensulamente y anualmente verifica que exista concordancia ente las cifras expuestas en los estados financieros y los saldos desagregados en las notas, evidencias soportadas en los estados financierso publicados en la página web de la institución y en página web de la contaduría general de la nación.</t>
  </si>
  <si>
    <t>Estados financieros publicados</t>
  </si>
  <si>
    <t>Posibilidad de sanciones Disciplinarias, Pecuniarias  por inoportunidad y calidad en el flujo  de la informacion reportada por las áreas productoras de la misma hacia contabilidad.</t>
  </si>
  <si>
    <t xml:space="preserve">GESTION DE SUMINISTROS Y ACTIVOS FIJOS </t>
  </si>
  <si>
    <t>Incumplimiento de politicas internas de la institucion en los plazos establecidos de reporte
*Información inconsistente y no conciliada por parte de las áreas productoras</t>
  </si>
  <si>
    <t xml:space="preserve">El área de almacén asigna un responsable a cada activo fijo nuevo que ingrese al Hospital, conforme a lo que establece la actividad 5 del procedimiento A-PR-05 Control y Registro de Activos Fijos mediante el formato A-F-02 Registro de activos fijos </t>
  </si>
  <si>
    <t>Formato A-F-02 Registro de activos fijos 
Informe Mensual de Registro de Activos Fijos a Contabilidad, Comprobantes de Egreso e Ingreso</t>
  </si>
  <si>
    <t>El área de almacén busca tener un control de los activos fijos realizando  rondas de verificacion de los activos a trves del formato A-F-04</t>
  </si>
  <si>
    <t xml:space="preserve">Formato A-F-04 Planilla de inventario de activos fijos. </t>
  </si>
  <si>
    <t>A-F-17 acta final de inventario, Informe semestral de análisis de inventario 
Reporte de inventario de Servinte</t>
  </si>
  <si>
    <t>Print del Pantallazo de la Interface generada en Sistema evidencia del envío de la información a contabiidad</t>
  </si>
  <si>
    <t>Cumplimiento estricto a lo establecido en la resolución 055 de 2020 frente a los tiempos de envío de información a contaibldiad</t>
  </si>
  <si>
    <t>Líder de Almacén</t>
  </si>
  <si>
    <t>Pantallazo de envío de información a contabildiad</t>
  </si>
  <si>
    <t>GESTION DE CONTRATACION</t>
  </si>
  <si>
    <t>Posibilidad de Sanciones Disciplinarias, fiscales y penales,
detrimento patrimonial debido al incumplimiento de requisitos establecidos en el manual de contratación</t>
  </si>
  <si>
    <t>Posibilidad de afectación de la proyección del presupuesto e inadecuada ejecución del contrato por incorrecta formulación de los estudios previos de conveniencia y oportunidad</t>
  </si>
  <si>
    <t>Posibilidad de demoras en el perfeccionamiento del contrato  dentro de los tiempos señalados por cambios de las condiciones inciiales propuestas por parte del proveedor</t>
  </si>
  <si>
    <t>Listado de contratos al cierre de periodo evaluado, Publicación en plataformas (CONTRALORIA, SECOP, PROCURADURIA) y página web (según la modalidad de contratación),  de documentos  inherentes a las etapas precontractual, contractual y poscontractual, envío de oficio a Procuraduría.</t>
  </si>
  <si>
    <t>Listado relación de procesos contractuales en el periodo evaluado, Estudios previos, Documentos del contratista, Evaluación de la propuesta, respuesta a observaciones, acta de cierre del proceso, y demas soportes asociados a la etapa precontractual.</t>
  </si>
  <si>
    <t>Relación de contratos suscritos del periodo evalaudo
Formatos C-F-27 Y C-F-28 Estudios de conveniencia de prestación de servicios y ECO Requerimientos, subasta inversa o convocatoria pública, respectivamente</t>
  </si>
  <si>
    <t>Relación de contratos suscritos del periodo evalaudo
Correos electrónicos de solicitud de firma del contrato</t>
  </si>
  <si>
    <t>GESTION ADMINISTRATIVA</t>
  </si>
  <si>
    <t>Auditoria Cuentas Médicas</t>
  </si>
  <si>
    <t>Cartera</t>
  </si>
  <si>
    <t>Autorizaciones</t>
  </si>
  <si>
    <t>Facturación</t>
  </si>
  <si>
    <t>Facturación 
Cartera
Aduditoría cuentas Médicas</t>
  </si>
  <si>
    <t>Posibilidad de disminución en el flujo de recursos por el no cumplimiento del cobro del 50% de la facturación radicada en el mes anterior</t>
  </si>
  <si>
    <t>Posibilidad de disminución en el flujo de recursos debido al no pago oportuno de las ERP</t>
  </si>
  <si>
    <t>Posibilidad de disminución en el flujo de recursos debido al crecimiento en el monto y edad de la cartera</t>
  </si>
  <si>
    <t>Posibilidad de pérdida de confiabilidad en la información debido a la omisión en el registro en los estados de cartera</t>
  </si>
  <si>
    <t>Posibilidad de generación de glosa o devolución de cuentas por falta de autorización de servicios debido al reporte inoportuno a las ERP</t>
  </si>
  <si>
    <t>Posibilidad de Generación de glosas o disminución de ingresos por Subfacturación o sobrefacturación de servicios prestados</t>
  </si>
  <si>
    <t xml:space="preserve">Posibilidad de Retraso en el pago de los servicios prestados por No  radicar el 100%  de la facturación generada por el  Hospital en un tiempo determinado  </t>
  </si>
  <si>
    <t>Posibilidad de no reconocimiento de la factura por parte de la ERP  debido a la no obtención del radicado individual de las facturas</t>
  </si>
  <si>
    <t xml:space="preserve">Posibilidad de pérdida de recursos económicos por errores en los registros de ingreso de pacientes </t>
  </si>
  <si>
    <t>Gestión inoportuna a la devolución de cuentas.</t>
  </si>
  <si>
    <t xml:space="preserve"> Incumplimiento en la normatividad vigente por parte de las EPS
No radicación de cuentas en el software por parte de Facturación 
</t>
  </si>
  <si>
    <t xml:space="preserve"> Incumplimiento en la normatividad vigente por parte de las EPS
No radicación oportuna de las devoluciones de Auditoría de cuentas
No radicación de cuentas en el software por parte de Facturación 
</t>
  </si>
  <si>
    <t>La deficiente actualización de las cuentas por cobrar en el software, asi como la  No utilización del mismo para llevar allí toda la información integrada a las demàs áreas.
No migracion en su totalidad de los estados de cartera en el sistema de informacion vs Contabilidad</t>
  </si>
  <si>
    <t xml:space="preserve">Liquidación o intervención a Aseguradoras 
</t>
  </si>
  <si>
    <t>No reporte oportuno a las diferentes entidades responsables de pago de los usuarios que ingresan a la institución.</t>
  </si>
  <si>
    <t>Falta de adherencia a los procedimientos de facturación
Distracción en el momento de facturar;  Falta de revisión en el momento de generar la factura, No registro oportuno de los cargos a la factura correspondiente.</t>
  </si>
  <si>
    <t>Falta de soportes de apoyo diagnóstico.
Entrega inoportuna de la factura por parte del  facturador al area de armado y radicacion; no gestión oportuna de pendientes.
Carencia de soportes de la factura.</t>
  </si>
  <si>
    <t>Las facturas que son enviadas por correo certificado a las ERP no se logra obtener el radicado individual.</t>
  </si>
  <si>
    <t xml:space="preserve">Falta de capacitación, desconocimiento del sistema, parametrización del sistema, </t>
  </si>
  <si>
    <t>El coordinador de auditoría de cuentas médicas diariamente ingesa, designa y distribuye las glosas oficiadas para análisis y gesitón conforme a lo establecido en el procedimiento  AM-PR-04 Respuesta a Glosas y Devoluciones, mediante el formato Semaforización de Glosas AM-F-05</t>
  </si>
  <si>
    <t>Semaforización de Glosas AM-F-05
Repuesta a Glosas y Devoluciones AM-F-01
Informe trimestral de Glosas, Indicador 1340, Acta de comité de cartera.</t>
  </si>
  <si>
    <t xml:space="preserve">El técnico de cuentas médicas diligencia el  formato AM-F-01 de respuesta a glosas y devoluciones cuando corresponda a fin de generar codificación conforme a lo establecido en el procedimiento AM-PR-04 Respuesta a Glosas y devoluciones, </t>
  </si>
  <si>
    <t xml:space="preserve">Informe trimestral de seguimiento de clasificación de glosa, indicador 1341 Identificación de las causales de glosa y codificación por conceptos según la normatividad vigente por centros de costo y por fecha de factura.(trimestral)
 </t>
  </si>
  <si>
    <t>El coordinador de Auditoria de cuentas médicas realiza trazabilidad mensualmente a la gestión de las devoluciones a través de la matriz  de Devoluciones  AM-F-04</t>
  </si>
  <si>
    <t>Matriz de Devoluciones AM-F-04, Acta Comité Cartera, Informe Trimestral, Indicador  1347 Cuentas gestionadas devueltas acumuladas totales</t>
  </si>
  <si>
    <t>Realizar seguimiento  a matriz devoluciones AM-F-04</t>
  </si>
  <si>
    <t>Coordinador Auditoria Cuentas</t>
  </si>
  <si>
    <t xml:space="preserve">1347 Total solucionado de facturas devueltas /  Total Acumulado de Facturas Devueltas </t>
  </si>
  <si>
    <t>El coordinador de Auditoria de cuentas médicas mensualmente  realiza  Seguimiento y control de las glosas sin acuerdo de conciliación basado en el formato AM-F-03 Matriz de glosas</t>
  </si>
  <si>
    <t>Informe Trimestral relacionando analisis de casos, Remisión de Casos, AM-F-03 Matriz de Glosas</t>
  </si>
  <si>
    <t xml:space="preserve">Realizar  seguimiento  a matriz de glosas 
</t>
  </si>
  <si>
    <t>Coordinador  Auditoria Cuentas -  Técnico Administrativo</t>
  </si>
  <si>
    <t>Seguimiento y control de las glosas sin acuerdo de conciliación en informe trimestral</t>
  </si>
  <si>
    <t>El profesional de cartera permanentemente realiza seguimiento al estado de los pagares suscritos, mediante el cobro persuasivo y la facturación radicada mes según lo indicado en: el procedimiento CAR-PR-06 Recaudo de pagares, a través del formato CAR-F-16 Lista de Chequeo  verificación y seguimiento a pagares , y en el Manual Interno de Recaudo de Cartera respectivamente a través del formato CAR-F-17 Lista de Chequeo Seguimiento a cobro persuasivo</t>
  </si>
  <si>
    <t>Formato CAR-F-16 Lista de Chequeo  verificación y seguimiento a pagares
Formato CAR-F-17 Lista de Chequeo Seguimiento a cobro persuasivo</t>
  </si>
  <si>
    <t>El abogado de cartera asignado permanentemente realiza la trazabilidad y gestión a los acuerdos de pago, conciliaciones de cartera, conciliación de glosas, para así poder generar los respectivos cobros prejuridicos, de acuerdo a lo establecido en el manual interno de recuado de cartera mediante formato CAR-F-14  Matriz General  de Cartera por Entidad</t>
  </si>
  <si>
    <t>Formato CA-F-14 Matriz General  de Cartera por Entidad</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</si>
  <si>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</si>
  <si>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 xml:space="preserve">Formato CAR-F-15 Lista de Chequeo verificación a actas de conciliación de glosas, formato CAR-F-16 Lista de Chequeo  verificación y seguimiento a pagares, formato CA-F-14 Matriz General  de Cartera por Entidad,  informe de 2193  </t>
  </si>
  <si>
    <t>El técnico de cartera realiza revisión mensual a la actualización de los informacion generada por auditoria de cuentas médicas y auditoria mediante cruces periodicos con las áreas involucradas, resultado de la revisión que se reporta en el acta de conciliación</t>
  </si>
  <si>
    <t>Matriz de información, Actas de conciliación</t>
  </si>
  <si>
    <t>Efectuar Conciliacion mensual entre los procesos de contabilidad y cartera resportando trimestralmente mediante acta de conciliación</t>
  </si>
  <si>
    <t>Coordinador Cartera</t>
  </si>
  <si>
    <t>Acta trimestral de Conciliación con contabildiad</t>
  </si>
  <si>
    <t>El líder de cartera realiza seguimiento según necesidad a la  Presentación del formulario de acreencia correctamente radicado ante la EAPB, mediante formulario  de presentación de acreencia.</t>
  </si>
  <si>
    <t>Sin Documentdo</t>
  </si>
  <si>
    <t>Formulario por la entidad liquidada de la  presentación de la acreencia.</t>
  </si>
  <si>
    <t>El técnico de autorizaciones de urgencias emite y realiza el seguimiento al Anexo técnico 2 generado por servinte para recibir la autorización del servicio por parte de la ERP  según lo establecido en el Procediminiento F-PR-12 Autorización de Atención Incial de Urgencias, y al Anexo técnico 3 y 4 según el procedimiento  F-PR-14 Autorización de Servicios Posteriores a la Urgencia.</t>
  </si>
  <si>
    <t>Anexo Técnico No.2
Anexo Técnico No. 3
Anexo Técnico No. 4
3 envíos electronicos con un lapso de 30 minutos por envio sin que se superen 24 horas.
Drive_https://docs.google.com/spreadsheets/d/1g1IyvJ4muD9qVMWux2LFPIx8yllkeCimwqvZC2W62gM/edit#gid=0
cuentas soportadas y debidamente auditadas.
 INDICADORES:  1508 / 1541</t>
  </si>
  <si>
    <t>Garantizar el reporte según normatividad vigente de la atencion de los pacientes que ingresan a la institución para prestacion de servicios de salud</t>
  </si>
  <si>
    <t>Profesional Universitario Lider de Autorizaciones</t>
  </si>
  <si>
    <t>*Valor de la Glosa final recibida por concepto de autorizaciones de la vigencia 
/ Valor de la Glosa final por concepto de autorizaciones recibidas a 31 de diciembre de la vigencia anterior INDICADOR::  1508
 * Número total de autorizaciones verificadas / Total de Autorizaciones INDICADOR::  1541</t>
  </si>
  <si>
    <t>Diariamente el analista principal y analista de apoyo verifican las facturas enviadas a revisión para determinar si existe subfacturación, sobrefacturación y/o facturación limpia registrando en el Formato F-F-17 control evidencias por factura revisada.</t>
  </si>
  <si>
    <t>Matriz Formato F-F-17 control evidencias por factura revisada.</t>
  </si>
  <si>
    <t>El profesional de facturación lider de armado y radicacion mensualmente realiza seguimiento a los  envíos de las facturas por radicar conforme a lo establecido en el Procedimiento F-PR-01 Armado y Radicación de Cuentas para gestión con las ERP correspondienteS, basado en el reporte de Servinte</t>
  </si>
  <si>
    <t>Acta Comité cartera
Reporte de servinte de facturación con estado en envío</t>
  </si>
  <si>
    <t xml:space="preserve">El profesional especializado de facturación mensualmente valida y verifica infromación antes de generar la interface para enviar a contabildiad </t>
  </si>
  <si>
    <t>El equipo de esencia a solicitud del proceso de facturación realiza capacitaciones o asistencias técnicas en cuanto manejo del sistema, actualizaciones o fallas</t>
  </si>
  <si>
    <t>Reporte de casos solicitados por facturación, en mesa de ayuda de Sistemas 
Actas de capacitación</t>
  </si>
  <si>
    <t>El líder de cada proceso, quien es responsable de entregar información a contabilidad, envía por correo electrónico print de la interface, conforme  a lo establecido en la Resolución interna 055 de 19 de febrero de 2020</t>
  </si>
  <si>
    <t>Interface generada en Sistema evidencia del envío de la información</t>
  </si>
  <si>
    <t>Establecer alerta de entrega de información a contabilidad</t>
  </si>
  <si>
    <t>Coordinador Facturación
Coordinador de Cartera
Coordinador de Adutiroria de Cuentas</t>
  </si>
  <si>
    <t xml:space="preserve">Posibilidad de incumplimiento de realizar Transferencias Documentales primarias en los términos que estable el cronograma 
</t>
  </si>
  <si>
    <t xml:space="preserve">Posibilidad de Sanciones Disciplinarias, Penales y Administrativas por la inoportunidad de la información y/o respuesta debido a la no entrega o la entrega de correspondencia fuera de los Términos 
</t>
  </si>
  <si>
    <t>GESTION DOCUMENTAL</t>
  </si>
  <si>
    <t>Falta de Adherencia al procedimiento GD-PR-07, GD-PR-08, GD-PR-09,</t>
  </si>
  <si>
    <t>El líder de gestión documental según cronograma realiza  la trazabilidad de cumplimiento de ejecución del cronograma de actividades a través del formato GD-F-28  de acuerdo a lo establecido en el Procedimiento GD-PR-04- Transferencias documentales primarias y cuyo registro se evidencia en el formato GD-F-05 y/o GD-F-29  FORMATO ÚNICO DE INVENTARIO DOCUMENTAL/HISTORIALES</t>
  </si>
  <si>
    <t>GD-F-28 Formato Cronograma de actividades,  GD-F-05 y/o GD-F-29  FORMATO ÚNICO DE INVENTARIO DOCUMENTAL/HISTORIALES,  Formato Unico de Inventario documental, Informe trimestral de reporte de cumplimiento según Cronograma de Transferencias documentales primarias 
Informe Ejecutivo del Año</t>
  </si>
  <si>
    <t>GESTION DE SISTEMAS DE INFORMACION Y COMUNICACIONES</t>
  </si>
  <si>
    <t xml:space="preserve">Posiblidad de Bloqueo de los sistemas de información, equipos de computo  por desactualización Tecnológica </t>
  </si>
  <si>
    <t>Posibilidad de Pérdida de credibilidad del Hospital por divulgación en medios de comunicación de información que no corresponde a la realidad de la institución.</t>
  </si>
  <si>
    <t>Inconvenientes de configuración y direccionamiento.
Cortes de fibra optica
Mantenimiento de las redes y equipos
Daños en el datacenter.
 falta de espacio para salvaguardar informacion.  
 La Interrupción del servicio de Internet por parte del Proveedor de Servicios de Internet.
 Daños en la infraestructura de cableado externo.
 implementación de nuevas tecnologías.
 terremoto, inundación o Incendio
Bloqueo de hardware y software</t>
  </si>
  <si>
    <t xml:space="preserve">Evolución y mejora continua de la tecnologia en cuanto a Hardware y Software.
Falta de contrato de mantenimiento de software  Falta de contrato de mantenimiento de hardware
No existe proveedor q de soporte o mantenimiento en HW o SW.   
Cambios en la normatividad que obligue a realizar grandes actualizaciones. </t>
  </si>
  <si>
    <t xml:space="preserve">Entrega de informacion no autorizado por gerencia, La negligencia de los medios de comunicación en la tarea de verificar la información reportada y material audiovisual divulgado. Falta de imparcialidad en la información emitida. Uso de las redes sociales para masificar informacion falsa y no oficial por parte de la comunidad </t>
  </si>
  <si>
    <t>Fallas Tecnológicas</t>
  </si>
  <si>
    <t>Sistemas</t>
  </si>
  <si>
    <t>Comunicaciones</t>
  </si>
  <si>
    <t>El técnico de TI ejecuta, según cronograma, los mantenimientos preventivos para equipos de computo de acuerdo a lo establecido en el Procedimiento mantenimiento preventivo para equipos de computo y comunicación S-PR-10 a través del formato S-F-04 Reporte dr mantenimientos preventivos</t>
  </si>
  <si>
    <t>Cronograma de mantenimiento preventivo, Formato reporte de mantenimiento preventivo S-F-04-, Circulares, Indicador 1224 Procentaje Mantenimientos Preventivos</t>
  </si>
  <si>
    <t>El Asesor de Desarrollo de servicios y el Profesional de TI realizan la supervisión a los contratos firmados que tiene la institución con proveedores de servicio de canal dedicado de internet a fin de que se garantize la conectividad en 99,7%, Contrato sistemas de información Servinte, Daruma, Sicof y Agility, Contrato de servicio de correo electrónico y página web a través de informes de supervisión</t>
  </si>
  <si>
    <t>Contratos firmados con los proveedores 
Informes de supervisión</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</si>
  <si>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</si>
  <si>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S-F-06 Hojas de vida de computo y comunicaciones
S-F-23 Formato inventario servidores virtuales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</si>
  <si>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</si>
  <si>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Contratos de soporte sistemas de información Servinte, Daruma, Sicof y Agility, Contrato de servicio de correo electrónico y página web  y Contratos de compra
Informes de supervisión</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</si>
  <si>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v3 mediante el formato CO-F-07</t>
  </si>
  <si>
    <t>CO-F-07 Comunicado de prensa, Print evidencia de publicación en medios de comunicación, oficio de rectificación.(en caso que aplique )</t>
  </si>
  <si>
    <t>Formato CO-F-03 publicación de contenidos de Altavoz CO-F-04 Programación Mensajes institucionales en Altavoz
CO-F-02 Solicitud de piezas comunicativas</t>
  </si>
  <si>
    <t>Semestral</t>
  </si>
  <si>
    <t xml:space="preserve">Actualizar procedimiento CO-PR-06 divulgación de información a través de comunicado de prensa </t>
  </si>
  <si>
    <t xml:space="preserve">líder de Comunicaciones </t>
  </si>
  <si>
    <t>Actualizar manual C0-M-01 MANUAL DE USO DE MEDIOS DE COMUNICACIÓN (NUMERALES DEL 8 AL 9)</t>
  </si>
  <si>
    <t>Posibilidad de presentarse Falla  en los equipos biomédicos asociados a operación indebida</t>
  </si>
  <si>
    <t>GESTIÓN TECNOLÓGICA</t>
  </si>
  <si>
    <t xml:space="preserve">No  identificacion de las causas externas
Fallas en el suministro de energía de la red principal (Electrificadora) </t>
  </si>
  <si>
    <t xml:space="preserve">El líder de Biomédica ejecuta el programa de capacitación  de tecnología biomédica conforme al cronograma definido en el formato l IB-F-21 cronograma de capacitaciones de tecnología Biomédica , o bien al personal nuevo de la institución o según necesidad, en acompañaimiento permanente de Talento humano, dejando como evidencia de todas las capacitaciones en el  formato TH-F-15 Asistencia de colaboradores a capacitación y/o induccción
</t>
  </si>
  <si>
    <t xml:space="preserve">IB-F-21 cronograma de capacitaciones de tecnología Biomédica
TH-F-15 Asistencia de colaboradores a capacitación y/o induccción.
</t>
  </si>
  <si>
    <t>El líder de Biomédica mensualmente alimenta el indicador 549 Proporción de fallas asociadas a la inadecuada manipulación del equipo a través del software Daruma</t>
  </si>
  <si>
    <t>correctivo</t>
  </si>
  <si>
    <t>Indicador 549 Proporción de fallas asociadas a la inadecuada manipulación del equipo a través del software Daruma</t>
  </si>
  <si>
    <t>El técnico biomédico realiza rondas de lunes a viernes  en los servicios a fin de identificar novedades en equipos y clasificar los requierimientos conforme lo establece el IB-PR-11 Procedimiento daño de equipo biomedico por mala manipulacion, mediante el formato IB-F-05 Reporte diario de fallas de equipo biomédico</t>
  </si>
  <si>
    <t>Reporte diario de fallas equipo Biomédico IB-F-05.</t>
  </si>
  <si>
    <t>GESTION SERVICIOS DE APOYO</t>
  </si>
  <si>
    <t>Posibilidad de afectación en la prestacion del servicio  por el No cumplimiento de  las acciones establecidas  para evaluar la gestión del tercerizado.</t>
  </si>
  <si>
    <t>No adherencia a protocolos y manuales institucionales
'Mejoras infraestructura,proyectos de dotacion hospitalaria</t>
  </si>
  <si>
    <t>El líder de Servicios de apoyo y los apoyos administrativos, de acuerdo al planeador o cronograma establecido, realizan el seguimiento a los servicios tercerizados a través de los formatos INT-F-10 Servicio de Alimentación  - Resumen por área INT - F-15  lista de chequeo alimentación ; INT-F-06- Lista chequeo aseo y desinfección; INT-F-07 Lista chequeo seguridad y vigilancia; INT-F-14- Control de recorrido prendas limpias - servicio de lavanderia INT- F-16 lista de chequeo de ropa hospitalaria, conforme a lo establecido en el procedimiento INT-PR-02 Seguimiento al Servicio de Seguridad y Vigilancia, Aseo y Desinfección, Alimentación y lavandería</t>
  </si>
  <si>
    <t xml:space="preserve">Informe mensual de actividades por cada Contratista y certificación de cumplimiento de actividades contractuales emitida por el apoyo a la interventoria, Acta de Compromisos (cuando se evidencian hallazgos en el seguimiento), Listas de Chequeo INT-F-10,  INT - F-15, INT-F-06; INT-F-07; INT-F-14, INT- F-16; </t>
  </si>
  <si>
    <t>El líder de Servicios de Apoyo de acuerdo a periodicidad según ficha técnica realiza medición de los indicadores del proceso en modulo Daruma</t>
  </si>
  <si>
    <t>Indicadores 1335, 1317, 1318, 
1611, 1610, 1609, 1328</t>
  </si>
  <si>
    <t>Posibilidad de sanciones disciplinarias por no ejecutar el Plan de Mantenimiento</t>
  </si>
  <si>
    <t>No ejecutar los mantenimiento programados
No realizar la reposición de equipos
'Falta de recursos económicos</t>
  </si>
  <si>
    <t>GESTION DE MANTENIMIENTO</t>
  </si>
  <si>
    <t xml:space="preserve">El líder de mantenimiento elabora y ejecuta el plan de mantenimiento preventivo de acuerdo a lo establecido en el  Procedimiento Mantenieminto Preventivo a la Infaestructura y Dotación MAN-PR-01 y según el cronograma, dejando registro en el formato MAN-F-17 Reprote de mantenimiento y los informes a los entes de control internos y externos. </t>
  </si>
  <si>
    <t>Cronograma de mantenimiento formato de secreatria de salud, reporte de mantenimiento MAN-F-17, lista de chequeo mantenimiento preventivo  MAN-F-10, hoja de vida equipo MAN-F-14, bitacora reporte de mantenimiento MAN-F-19, informe seguimiento semestral sobre ejecucion del plan de mantenimiento hospitalario.</t>
  </si>
  <si>
    <t>El líder de mantenimiento y técnicos  según cronograma,  aplica lo establecido en el  Procedimiento Mantenieminto Preventivo a la Infaestructura y Dotación Hospitalaria MAN-PR-01 a fin de minimizar el fallo en los equipos a través del formato MAN-F-22 reporte de solicitudes de actividades de mantenimiento correctivos y asistenciales</t>
  </si>
  <si>
    <t>Formatos MAN-F-22 reporte de solicitudes de actividades de mantenimiento correctivos y asistenciales 
Indicador 586 Ejecutar actividades de mantenimiento correctivo
585 Ejecutar actividades de Mantenimiento preventivo</t>
  </si>
  <si>
    <t>Realizar seguimiento mensual a la ejecución del cornograma de mantenimiento</t>
  </si>
  <si>
    <t>Líder Mantenimiento</t>
  </si>
  <si>
    <t>Indicadores 585 y 586</t>
  </si>
  <si>
    <t>Posibilidad de inicio de acciones consitucionales por extemporaneidad en la emision de respuestas a los derechos de petición conforme a la normatividad vigente</t>
  </si>
  <si>
    <t>Vencimiento de términos
Entrega tardía de la respuesta por parte del área involucrada</t>
  </si>
  <si>
    <t xml:space="preserve">Entrega tardia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  </t>
  </si>
  <si>
    <t>GESTION JURIDICA</t>
  </si>
  <si>
    <t>El abogado asignado al caso y cuando aplique, realiza las gestiones necesarias en las áreas correspondientes para elaborar respuesta y presentarla en los téminos concedidos por el despacho, conforme a lo establecido en el procedimiento OAJ-PR-02 Contestación Acción de Tutela, así como su trazabilidad la realiza a través de la matriz OAJ-F-08 Registro de Acciones de Tutela</t>
  </si>
  <si>
    <t>OAJ-F-08 Registro de acciones de tutela
Informe trimestral presentado a Gerencia sobre el tramite de las acciones de tutela.</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</si>
  <si>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</si>
  <si>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Matriz derechos de petición oficina jurídica OAJ-F-07, informe mensual PQRSD</t>
  </si>
  <si>
    <t>GESTION DE INVESTIGACION E INNOVACION</t>
  </si>
  <si>
    <t>Posibilidad de pérdida de convenios docencia servicio por no cumplimiento de las actividades y obligaciones conjuntas de docencia-servicio</t>
  </si>
  <si>
    <t>Posibilidad de detrimento de la calidad formativa por falta de supervisión de los Syllabus de rotación y planes de actividades</t>
  </si>
  <si>
    <t>Ausencia de seguimiento efectivo al cumplimiento de los convenios docencia - servicio</t>
  </si>
  <si>
    <t>Falta de seguimiento y supervisión
Incumplimiento a lineamientos normativos</t>
  </si>
  <si>
    <t>El coordinador de Gestión Académica realiza verificación semestral de cumplimiento de requisitos de los convenios suscritos mediante el formato GAC-F-11 y cumplimento de pólizas mediante el formato GAC-F-02 atendiendo lo descrito en la actividad 3 del  Procedimiento GAC-PR-03  verificación de pólizas de convenios Docencia Servicio</t>
  </si>
  <si>
    <t>Listado de convenios vigentes, Lista de chequeo convenios GAC-F-11 durante el periodo evaluado, Lista chequeo verificacion de pólizas de convenios Docencia Servicio GAC-F-02.</t>
  </si>
  <si>
    <t>El coordinador de Gestión Académica elabora informe trimestral de supervisión a los syllabus de rotación y planes de actividades, de acuerdo a lo establecido en el procedimiento GAC-PR-02  Supervisión del personal en entrenamiento para posterior presentación en comités de docencia-servicio Institucional e Interinstitucional</t>
  </si>
  <si>
    <t>Informes de supervisión de Syllabus de Rotación y planes de activides
Actas de comités de docencia-servicio institucional e interinstitucional</t>
  </si>
  <si>
    <t>DIRECCIONAMIENTO ESTRATEGICO Y HUMANIZACION</t>
  </si>
  <si>
    <t xml:space="preserve">Posibilidad de sanciones Administrativas y disciplinarias debido al incumplimiento de las metas establecidas frente a la planeación estratégica por falta de seguimiento </t>
  </si>
  <si>
    <t>Inadecuada gestión en el cumplimiento de metas.</t>
  </si>
  <si>
    <t>El profesional de Planeación realiza seguimiento a Planes operativos, trimestralmente mediante el  Formato OADS-F-03 Plan Operativo por Procesos y utilizando la Herramienta Formato OADS-F-35 Matriz seguimiento indicadores Plan de Desarrollo, si se requiere se generan actas de compromisos en formaro CA-F-18</t>
  </si>
  <si>
    <t xml:space="preserve">Actas de reunion de compromisos generados, cuando aplique
Formatos OADS-F-35 Matriz de segumiento indicadores plan de Desarrollo
Formato OADS-F-03 Plan Operativo por Procesos </t>
  </si>
  <si>
    <t>Realizar Actualización del procedimiento OADS-PR-07 Elaboración Plan Operativo Anual de Procesos donde incluya el seguimento de loa POA</t>
  </si>
  <si>
    <t>Planeación</t>
  </si>
  <si>
    <t>Procedimiento Actualizado</t>
  </si>
  <si>
    <t>GESTION QHSE</t>
  </si>
  <si>
    <t>Posibilidad de sanciones debido al   reporte extemporaneo de información legal a entes de inspeccion vigilancia y control frente a Resolución 408 de 2018 (indicadores 2-Pamec y 10-Circular Única), Resolución 256 de 2016 y Decreto 2193 tabla de calidad</t>
  </si>
  <si>
    <t>Posibilidad de presentar desactualización documental por no generar las alertas, creación de tareas y mecanismos de acuerdo a la norma fundamental y lineamientos del modulo de documentos de Daruma</t>
  </si>
  <si>
    <t>No oportunidad en el reporte  de la información.
'Fallas en los sistemas de informacion frente al cumplimiento de los requisitos de las plataformas de reporte.</t>
  </si>
  <si>
    <t>No aplicación de las mecanismos de control establecidos para asegurar la actualizacion del sistema de gestion de calidad.
'Fallas en los sistemas de informacion frente a la consulta y cargue de los documentos</t>
  </si>
  <si>
    <t>Calidad</t>
  </si>
  <si>
    <t>El líder de unidad de análisis estadistica realiza seguimiento trimestral a la gestión de indicadores conforme a lo establecido en el procedimiento [OADS-PR-01] Gestión y Seguimiento de Indicadores - V4 a través de informe trimestral de reporte de gestión de indicadores</t>
  </si>
  <si>
    <t>Informe trimestral de indicadores, Informe de produccón y de calidad</t>
  </si>
  <si>
    <t>El profesional Universitario de Calidad notificará vía correo electrónico a los responsables de reporte externos, aplicables a desarrollo de servicios, con 5 días de anticipación a la fecha de reporte de acuerdo a la periodicidad establecida</t>
  </si>
  <si>
    <t>Listados de reportes aplicables a desarrollo de servicios, Correos electrónicos, soporte de Cargue exitoso.</t>
  </si>
  <si>
    <t xml:space="preserve">El líder de procesos realiza seguimiento mensual al estado de los documentos de la institución a fin de emitir alertas a los procesos en los que esté próximo a vencerse alguno de ellos conforme a lo establecido en el procedimiento CA-PR-06 Control de Documentos V8
</t>
  </si>
  <si>
    <t>Listado Maestro de Documentos CA-F-00
Informe mensual  seguimiento frente a la actualizacion y/o elaboracion documentos DARUMA
Corrreos electrónicos de alerta y documentos vencidos</t>
  </si>
  <si>
    <t>El líder de procesos continuamente valida y verifica la estructura de los documentos  de acuerdo a los  lineamientos definidos en la norma fundamental CA-M-00, mediante las notas realizadas al estado del documento en Daruma</t>
  </si>
  <si>
    <t>Reportes de notas realizadas en Daruma y/o Pantallazo de las anotaciones de la revision documental en Daruma</t>
  </si>
  <si>
    <t>Realizar seguimiento al reporte de Información legal priorizada a las plataformas  por los entes de inspeccion, vigilancia y control,  Resolución 408 de 2018 (indicadores 2 y 10), Resolución 256 de 2016 y Decreto 2193 tabla de calidad</t>
  </si>
  <si>
    <t>Profesional universitario calidad
Lider reponsable reporte información
Líder Unidad de Análisi Estadística</t>
  </si>
  <si>
    <t>Según fuente de información:
Número de reportes aplciables a Desarrollo de Servicios realizados en el periodo / Total reportes aplicables a Desarrollo de Servicios en el periodo x 100</t>
  </si>
  <si>
    <t>GESTION DEL TALENTO HUMANO</t>
  </si>
  <si>
    <t>Posibilidad de trámites administrativos y costos adicionales innecesarios debido a Liquidación erronea de la nómina</t>
  </si>
  <si>
    <t>Posibilidad de pagos indebidos
o detrimento Patrimonial por aprobación de solicitudes de libranzas y descuentos por nómina que no cumplan con los requisitos exigidos.</t>
  </si>
  <si>
    <t>Posibilidad de incumplimiento de los objetivos de los procesos por falta
de competencia del personal debido a un inadecuado proceso de inducción específica</t>
  </si>
  <si>
    <t>La entidad dentro de su sitsema de información, no cuenta con procesos articulados y oportunos que permitan realizar cruces de informacion para generar la nómina  de manera confiable y oportuna
Legislación vigente</t>
  </si>
  <si>
    <t>Incumplimiento del procedimiento para laautorizacion de libranzas TH-PR-13</t>
  </si>
  <si>
    <t>1. Perfiles con definición general en el
M anual de funciones o anexo de perfiles
2. Desconocimiento del personal que
ingresa  a la institución
3. Inadecuada entrega de cargos por parte
del personal saliente
4. Incumplimiento a la realización de inducción específica según procedimiento TH-PR-01</t>
  </si>
  <si>
    <t>La profesional de nómina verifica, una vez surja el requerimiento, el cumplimiento de requisitos exigidos para autorización de libranzas y créditos y mensualmente aplica el repectivo descuento de nómina de acuerdo a la factura emitida por la entidad financiera aplicando lo establecido en el Procedimiento Autorización de Libranzas y Créditos TH-PR-13  a través del Formato de control de Autorizaciones de Libranzas y Creditos TH-F-17</t>
  </si>
  <si>
    <t>Formato de control de Autorizaciones de Libranzas y Creditos TH-F-17, Nómina mensual Individual del personal con descuento por libranzas, Factura o Cuenta de Cobro de las entidades comerciales y bancarias con las se tiene convenio</t>
  </si>
  <si>
    <t>La persona delegada en Talento Humano solicita el  diligenciamiento del formato TH-F-71 compromiso de Inducción y re-inducción,  cada vez que ingrese una persona a laborar en la entidad</t>
  </si>
  <si>
    <t>Formatos diligenciados TH-F-71</t>
  </si>
  <si>
    <t>La  persona delegada en Talento Humano  realiza seguimiento mensual de las inducciones presentadas, en la base de datos TH-F-75</t>
  </si>
  <si>
    <t xml:space="preserve">Base de datos para registro del personal nuevo TH-F-75 y el formato TH-F35 formato de inducción y reinducción en el puesto de trabajo. </t>
  </si>
  <si>
    <t>Mensualmente la profesional de nómina genera reporte preliminar en el sistema y el líder de talento humano revisa nómina antes de generar archivos planos para enviar a tesoreria conforme indica el Procedimiento TH-PR-20 Liquidación de Nómina, reportes generados por medio del Software utilizado Ada Sicof</t>
  </si>
  <si>
    <t xml:space="preserve">Reporte de Nómina, Reporte de novedades, reporte magnetico para giro del banco, soportes de Liquidación y Pago </t>
  </si>
  <si>
    <t xml:space="preserve">APOYO DE SERVICIOS DE SALUD </t>
  </si>
  <si>
    <t>Consulta Externa</t>
  </si>
  <si>
    <t xml:space="preserve">Posibilidad de insastisfacción del usuario, e incremento de PQRS por falta de acceso en la asignación de citas en consulta especializada en las especialidades de Endocrinología, Neurocirugía, Urología, Anestesia manejo del dolor, Neuropediatría, </t>
  </si>
  <si>
    <t>Alta demanda
Atención de usuarios de todo el departamento y departamentos circunvencinos, limitación en la red de las EPS, Preferencia del usuario por la isntitución</t>
  </si>
  <si>
    <t xml:space="preserve">El Coordiandor Apoyo de Servicios de Salud de manera trimestral realiza validación a la demanda insatisfecha de las especialidades  consulta especializada  de Endocrinología, Neurocirugía, Urología, Anestesia manejo del dolor, Neuropediatría, </t>
  </si>
  <si>
    <t xml:space="preserve">Informe de demanda instisfecha </t>
  </si>
  <si>
    <t xml:space="preserve">Solicitar agendas adicionales de  las especialidades  consulta especializada  de Endocrinología, Neurocirugía, Urología, Anestesia manejo del dolor, Neuropediatría, con el fin de diminuir la demanda insatisfecha </t>
  </si>
  <si>
    <t>El Coordiandor Apoyo de Servicios de Salud</t>
  </si>
  <si>
    <t xml:space="preserve">Numero de agendas adicionales de las especialidades de  consulta especializada  de Endocrinología, Neurocirugía, Urología, Anestesia manejo del dolor, Neuropediatría, </t>
  </si>
  <si>
    <t>Posibilidad de incumplimiento de los objetivos misionales y metas debido a la falta de identificación, análisis y seguimiento de indicadores</t>
  </si>
  <si>
    <t>Posibilidad de desviación en la prestación del servicio por la no actualización o ausencia de protocolos, planes de cuidado, manuales, procedimientos, formatos</t>
  </si>
  <si>
    <t>ENFERMERIA</t>
  </si>
  <si>
    <t>Falta de capacitación, Falta de adherencia, Desmotivación</t>
  </si>
  <si>
    <t>Debilidades de seguimiento y control por parte de los lideres de proceso en la actualización de documentos</t>
  </si>
  <si>
    <t>Informe de indicadores</t>
  </si>
  <si>
    <t>Informe de estado de procesos</t>
  </si>
  <si>
    <t>Informe de actualización de guias de practica clinica</t>
  </si>
  <si>
    <t>Líder Procesos y Procedimientos</t>
  </si>
  <si>
    <t>Correos electrónicos enviados</t>
  </si>
  <si>
    <t>Posibilidad de desviación en la prestación del servicio por la no actualización o ausencia de protocolos, guías, procedimientos, formatos</t>
  </si>
  <si>
    <t>Gestión Quirúrgica</t>
  </si>
  <si>
    <t>GESTIÓN QUIRÚRGICA</t>
  </si>
  <si>
    <t xml:space="preserve">Posibilidad de inadecuada identificacción de necesidades de medicamentos, dispositivos medicos,  a causa de un ineficiente analsis de consumos historicos </t>
  </si>
  <si>
    <t>Posibilidad de indecuada recepción tecnicoadministrativa de medicamentos, dispositivos medicos, materias primas, material de envasey gases medicinales por falta de adherencia al procedimiento SF-PR-28</t>
  </si>
  <si>
    <t>Posibilidad de inadecuado almacenamiento de medicamentos y  dispositivos medicos por falta de adherencia a la resolución 1403 de 2007</t>
  </si>
  <si>
    <t>ineficiente analsis de consumos historicos 
Falta de adherencia al procedimiento SF-PR-23</t>
  </si>
  <si>
    <t>Falta de adherencia al procedimiento SF-PR-28</t>
  </si>
  <si>
    <t>Falta de adherencia al procedimiento SF-PR-04</t>
  </si>
  <si>
    <t>SERVICIO FARMACEUTICO</t>
  </si>
  <si>
    <t xml:space="preserve">El director tecnico de gestion farmaceutica determina las necesidades del producto  a traves del listado basico  institucional (Servinte) y el historico de consumos y solicita los medicamntos, dispositivos mediscos, teniendo en cuenta los  formatos ESTUDIO PREVIO DE CONVENIENCIA Y OPORTUNIDAD – REQUERIMIENTOS, SUBASTA INVERSA O CONVOCATORIA PUBLICA C-F-31 Evaluación Técnica Definitiva
</t>
  </si>
  <si>
    <t xml:space="preserve"> Listado basico  institucional (Servinte)
Relación contratos del periodo evaluado, C-F-28 Estudio previo de conveniencia y oportunidad, C-F-31 Evaluación Técnica Definitiva
</t>
  </si>
  <si>
    <t>El  regente de bodega, operario de mantenimiento, jefe de control de calidad de aire medicinal, verifica las condiciones de medicamentos, dispositivos medicos, materias primas, material de envasey gases medicinales a traves de los formatos SF-F-123, SF-SAM-F-47, SF-F-124,-SF-F-26,</t>
  </si>
  <si>
    <t>SF-F-123,  VERIFICACIÓN DE CONDICIONES DEL TRANSPORTE A LA ENTREGA DE PEDIDOS DE PROVEEDORES
 SF-SAM-F-47,LISTA DE CHEQUEO DE TRANSPORTE DE GASES MEDICINALES 
SF-F-124,  LISTA DE CHEQUEO PARA NUTRICIONES PARENTERALES
SF-F-26,  ACTA DE RECEPCION TECNICO ADMINISTRATIVA</t>
  </si>
  <si>
    <t>La enfermera jefe durante la primera semana de cada mes verifica el estado actual de los medicamentos, dispositivos medicos (fecha de vencimiento, lote, y cantidad), la cual queda registrada en el formato SF-F-36 Y SF-F-38, teniendo en cuenta el procedimiento TRA-PR-53</t>
  </si>
  <si>
    <t>SF-F-36  INVENTARIO CARRO DE PARO
SF-F-38 LISTADO DE RESERVA AUTORIZADA DE MEDICAMENTOS Y DISPOSITIVOS MÉDICOS PARA SERVICIOS</t>
  </si>
  <si>
    <t xml:space="preserve">Los regentes y tecnologos administrativos realizan los inventarios aleatorios mensualmente a traves del formato SF-F-58 "Control de inventarios y fechas de vencimiento", y los medicamentos y disposiivos medicos y notifica  a los proveedores respectivos para su devolución con el formato SF-F-23 DEVOLUCION DE MERCANCIA A PROVEEDORES
</t>
  </si>
  <si>
    <t>SF-F-58 "Control de inventarios y fechas de vencimiento"
Correo electronico de notificación de devolución de medicamentos y / o dispositivos medicos
 SF-F-23 DEVOLUCION DE MERCANCIA A PROVEEDORES</t>
  </si>
  <si>
    <t>Posibilidad de perdida de credibilidad institucional por la insatisfacción del usuario en la atención</t>
  </si>
  <si>
    <t>SISTEMA DE INFORMACION Y ATENCION AL USUARIO</t>
  </si>
  <si>
    <t xml:space="preserve">Ampliacion de la infraestructura, causa incomodidad en los usuarios en cuanto acceso a la institución
El personal con el que cuenta el proceso no cubre los requerimientos a las necesidades de la poblaciòn atentida </t>
  </si>
  <si>
    <t xml:space="preserve">Estandarización del proceso y los continuos cambios de los procedimientos para tramitar respuesta.
Falta de compromiso del proceso implicado en la queja.
Incumplimiento de la normatividad </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</si>
  <si>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</si>
  <si>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Muestra definida según intructivo SIAU-INS-01 
Consolidado de encuestas en excel 
Informe mensual de satisfacción</t>
  </si>
  <si>
    <t xml:space="preserve">Actualizar el Procedimiento SIAU-PR-10 Evaluación de la Satisfacción del usuario </t>
  </si>
  <si>
    <t xml:space="preserve">Coordinador Apoyo Servicios de Salud </t>
  </si>
  <si>
    <t xml:space="preserve">El lider del proceso involucrado, así como el líder de la oficina de SIAU y jurídica deberán dar respuesta a la queja instaurada según el trámite y tiempos de acuerdo a la resolucion 194 de 2018.
</t>
  </si>
  <si>
    <t xml:space="preserve">Matriz SIAU-F-13 seguimiento quejas y reclamos por servicio y por factor de caldiad 
Indicador 446 Tiempo  promedio de respuesta a quejas de los usuarios </t>
  </si>
  <si>
    <t>Diseñar, e implementar  formato para el  seguimiento y trazabilidad a los tiempos de respuesta estableccidoes en la resolución 194 de 2018</t>
  </si>
  <si>
    <t xml:space="preserve">Matriz de seguimiento </t>
  </si>
  <si>
    <t>Posibilidad de incumplimiento en reporte oportuno, identificación, análisis y seguimiento de indicadores</t>
  </si>
  <si>
    <t>Posibilidad de desviación en la prestación del servicio por la no actualización o ausencia de protocolos, guías, procedimientos, formatos, manuales</t>
  </si>
  <si>
    <t>Falta de capacitación, Falta de adherencia, Falta horas administrativas para reporte</t>
  </si>
  <si>
    <t xml:space="preserve">Debilidades de seguimiento y control por parte de los lideres de proceso en la actualización de documentos
Falta de claridad en la política de uso de documentos a utilizar
Falta de horas administrativas para actualizar y socializar </t>
  </si>
  <si>
    <t>Unidad de Cuidados Intensivos Neonatal, Adultos y Pediátrica</t>
  </si>
  <si>
    <t>UNIDAD DE CUIDADOS INTENSIVOS</t>
  </si>
  <si>
    <t>Gestión Clínica</t>
  </si>
  <si>
    <t>GESTIÓN CLÍNICA</t>
  </si>
  <si>
    <t>Informe reporte mensual de indicadores
Informe trimestral de analisis y planes de mejora.</t>
  </si>
  <si>
    <t>Posibilidad de incumplimiento de los objetivos misionales y metas del proceso debido a la falta de identificación, análisis y seguimiento de indicadores</t>
  </si>
  <si>
    <t>Posibilidad de desviación en la prestación del servicio por la no actualización o ausencia de protocolos, guías, procedimientos, formatos, manuales, guías</t>
  </si>
  <si>
    <t>Rotación de talento humano</t>
  </si>
  <si>
    <t>URGENCIAS</t>
  </si>
  <si>
    <t>Urgencias</t>
  </si>
  <si>
    <t>Posibilidad de no ejecución de las acciones individuales por 
no identificación de eventos de interés de salud pública de acuerdo a la normatividad vigente</t>
  </si>
  <si>
    <t>Fallas en el sistema interno y externo (SIANIESP)
Errores en el diligenciamiento en la historia Clínica
Insufieciencia de personal para la busqueda activa de eventos</t>
  </si>
  <si>
    <t>EPIDEMIOLOGÍA Y SALUD PÚBLICA</t>
  </si>
  <si>
    <t>Los enfermeros de salud pública diariamente realizan la busqueda de eventos a fin de identificarlo, notificarlo y realizar las acciones individuales para cada evento de acuerdo a lo establecido en el procedimiento VSP-PR-10 Búsqueda activa insititucional de eventos de interés de salud pública a través del formato  VSP-F-63 Búsqueda Activa Mensual</t>
  </si>
  <si>
    <t>Formato VSP-F-63 Búsqueda Activa Mensual</t>
  </si>
  <si>
    <t>Gestión</t>
  </si>
  <si>
    <t>Gestion</t>
  </si>
  <si>
    <t>Operacional</t>
  </si>
  <si>
    <t>Sanciones administrativas</t>
  </si>
  <si>
    <t xml:space="preserve">Pérdida de credibilidad y confiabilidad de la OCI y Desviación  del sistema de control interno  </t>
  </si>
  <si>
    <t>Sanciones por entes de control</t>
  </si>
  <si>
    <t xml:space="preserve">sanciones por entes de vigilancia y control </t>
  </si>
  <si>
    <t>Sanciones por incumplimiento</t>
  </si>
  <si>
    <t xml:space="preserve"> Pérdida de recursos económicos y sanciones</t>
  </si>
  <si>
    <t xml:space="preserve">Sanciones </t>
  </si>
  <si>
    <t xml:space="preserve">Sanciones de los entes de control </t>
  </si>
  <si>
    <t>Iincapacidad financiera</t>
  </si>
  <si>
    <t>Sanciones</t>
  </si>
  <si>
    <t xml:space="preserve"> sanciones disciplinarias y pecunaria</t>
  </si>
  <si>
    <t>Detrimento patrimonial, procesos disciplinarios,</t>
  </si>
  <si>
    <t xml:space="preserve">Sanciones Disciplinarias, Pecuniarias </t>
  </si>
  <si>
    <t xml:space="preserve"> Sanciones fiscales, disciplinarios, penales y civiles</t>
  </si>
  <si>
    <t>Sanciones Disciplinarias, fiscales y penales,</t>
  </si>
  <si>
    <t>Afectación de la proyección del presupuesto</t>
  </si>
  <si>
    <t xml:space="preserve">Demoras en el perfeccionamiento del contrato </t>
  </si>
  <si>
    <t>Disminución en los ingresos</t>
  </si>
  <si>
    <t xml:space="preserve">No identificación de las causales de la glosa </t>
  </si>
  <si>
    <t xml:space="preserve">No reconocimiento de los servicios prestados </t>
  </si>
  <si>
    <t xml:space="preserve">Demora en el flujo de recursos </t>
  </si>
  <si>
    <t>Disminución en el flujo de recursos</t>
  </si>
  <si>
    <t>Pérdida de confiabilidad en la información</t>
  </si>
  <si>
    <t>Pérdida de cartera</t>
  </si>
  <si>
    <t>Generación de glosa o devolución de cuentas</t>
  </si>
  <si>
    <t xml:space="preserve">Generación de glosas o disminución de ingresos </t>
  </si>
  <si>
    <t xml:space="preserve"> Retraso en el pago de los servicios prestados </t>
  </si>
  <si>
    <t>No reconocimiento de la factura por parte de la ERP</t>
  </si>
  <si>
    <t>Pérdida de recursos económicos</t>
  </si>
  <si>
    <t xml:space="preserve">Incumplimiento de realizar Transferencias Documentales primarias </t>
  </si>
  <si>
    <t xml:space="preserve">Sanciones Disciplinarias, Penales y Administrativas </t>
  </si>
  <si>
    <t xml:space="preserve"> Interrupción del servicio </t>
  </si>
  <si>
    <t>Bloqueo de los sistemas de información</t>
  </si>
  <si>
    <t>Pérdida de credibilidad del Hospital</t>
  </si>
  <si>
    <t xml:space="preserve"> Falla  en los equipos biomédicos</t>
  </si>
  <si>
    <t>Daño del equipo biomédicos</t>
  </si>
  <si>
    <t xml:space="preserve">Posibilidad de presentarse  Daño del equipo biomedico por causas externas </t>
  </si>
  <si>
    <t>afectación en la prestacion del servicio</t>
  </si>
  <si>
    <t xml:space="preserve">Sanciones disciplinarias </t>
  </si>
  <si>
    <t xml:space="preserve">fallas a infraestructura, equipos industriales y/o mobiliario </t>
  </si>
  <si>
    <t>Incumplimiento de Términos Legales</t>
  </si>
  <si>
    <t>Inicio de acciones consitucionales</t>
  </si>
  <si>
    <t xml:space="preserve">Pérdida de convenios docencia servicio </t>
  </si>
  <si>
    <t>Detrimento de la calidad formativa</t>
  </si>
  <si>
    <t>Sanciones Administrativas y disciplinarias</t>
  </si>
  <si>
    <t xml:space="preserve">Desactualización documental </t>
  </si>
  <si>
    <t xml:space="preserve">Trámites administrativos y costos adicionales innecesarios </t>
  </si>
  <si>
    <t>Pagos indebidos
o detrimento Patrimonial</t>
  </si>
  <si>
    <t>Incumplimiento de los objetivos de los procesos</t>
  </si>
  <si>
    <t xml:space="preserve"> Insastisfacción del usuario, e incremento de PQRS </t>
  </si>
  <si>
    <t xml:space="preserve"> Incumplimiento de los objetivos misionales y metas</t>
  </si>
  <si>
    <t>Desviación en la prestación del servicio</t>
  </si>
  <si>
    <t>Incumplimiento de los objetivos misionales y metas</t>
  </si>
  <si>
    <t xml:space="preserve">Desviación en la prestación del servicio </t>
  </si>
  <si>
    <t>Inadecuada identificacción de necesidades de medicamentos, dispositivos medicos,</t>
  </si>
  <si>
    <t xml:space="preserve">Perdida de credibilidad institucional </t>
  </si>
  <si>
    <t>Incumplimiento en reporte oportuno, identificación, análisis y seguimiento de indicadores</t>
  </si>
  <si>
    <t>no ejecución de las acciones individuales</t>
  </si>
  <si>
    <t>Procesos</t>
  </si>
  <si>
    <t xml:space="preserve">Verifican periodicamente el Manual de políticas contables  adoptado por la ESE, así como procedimientos asociados al proceso contable a fin de identificar si requieren actualización y socializarlos en los casos a que haya lugar </t>
  </si>
  <si>
    <t xml:space="preserve">contador </t>
  </si>
  <si>
    <t>Enero a diciembre</t>
  </si>
  <si>
    <t>Realizar conciliación con las áreas productoras de información financiera insumo para la elaboración de los estados financieros,</t>
  </si>
  <si>
    <t xml:space="preserve">Verificar la información reportada  y realizaran  conciliaciones relacionadas con deterioro de cartera, provisiones, depreciaciones de activos fijos  y bjas en cuentas, de acuerdo a lo establecido en la resolución 048 de 2021 </t>
  </si>
  <si>
    <t>Verificar que exista concordancia ente las cifras expuestas en los estados financieros y los saldos desagregados en las notas</t>
  </si>
  <si>
    <t>Coordinador de contratación</t>
  </si>
  <si>
    <t>Publicación en plataformas (CONTRALORIA, SECOP, PROCURADURIA) y página web (según la modalidad de contratación)</t>
  </si>
  <si>
    <t>Revisar los estudios de conveniencia y oportunidad que enmarcan el inicio de proceso y da aplicación a lo contemplado en el Manual de contratacion M-C-00</t>
  </si>
  <si>
    <t>Los supervisores de contratos</t>
  </si>
  <si>
    <t>Ingesa, designa y distribuye las glosas oficiadas para análisis y gesitón conforme a lo establecido en el procedimiento  AM-PR-04 Respuesta a Glosas y Devoluciones</t>
  </si>
  <si>
    <t>Coordinador de auditoría de cuentas médicas</t>
  </si>
  <si>
    <t>Realiza seguimiento al estado de los pagares suscritos, mediante el cobro persuasivo y la facturación radicada</t>
  </si>
  <si>
    <t>Realizar seguimiento al estado de los pagares suscritos, mediante el cobro persuasivo y la facturación radicada</t>
  </si>
  <si>
    <t>Técnico de cartera</t>
  </si>
  <si>
    <t xml:space="preserve">Realizar revisión mensual a la actualización de los archivos generados por auditoria de cuentas médicas a fin de registrar los valores aceptados después de la conciliación </t>
  </si>
  <si>
    <t>Realizar seguimiento según necesidad a la  Presentación del formulario de acreencia correctamente radicado ante la EAPB</t>
  </si>
  <si>
    <t xml:space="preserve"> Líder de cartera</t>
  </si>
  <si>
    <t>Procedimiento actualizado</t>
  </si>
  <si>
    <t>Manual actualizado</t>
  </si>
  <si>
    <t>valida el reporte mensulamente, analisis y planes de mejora (trimestralmente) de los indicadores asociados al proceso.</t>
  </si>
  <si>
    <t xml:space="preserve">El líder de unidad de analisis estadistico </t>
  </si>
  <si>
    <t>Enviar Alertas del estado de los documentos por vencer</t>
  </si>
  <si>
    <t xml:space="preserve">Ralizar el seguimento de la publicación de contratos conforme a los términos establecidos en la resolución 173 de 2021 donde se adopta Manual de contratacion </t>
  </si>
  <si>
    <t>Verificar que e estudio de conveniencia y oportunidad cumpla con el lleno de requisitos de su elaboración de acuerdo a lo establecido a la resolución 173 de 2021 donde se adopta Manual de contratación</t>
  </si>
  <si>
    <t>El técnico de contratación según necesidad realiza seguimiento a la firma de los contratos de acuerdo a lo establecido en la resolución 173 de 2021 donde se adopta Manual de contratación a través de de correos electrónicos</t>
  </si>
  <si>
    <t>SF-F-58 "Control de inventarios y fechas de vencimiento"</t>
  </si>
  <si>
    <t>Posibilidad de no conformidades por la utilización de formatos desactualizados por falta de adherencia a la norma fundamental.</t>
  </si>
  <si>
    <t>No aplicación de las mecanismos de control establecidos para asegurar la aplicación de formatos  actualizados en los procesos institucionales.
Falta de adherencia a la norma fundamental.</t>
  </si>
  <si>
    <t>Posibles sanciones o cierre de servicios asociado al incumplimiento de los estándares de habilitación de la resolución 3100 por no llevar autoevaluación de los mismos</t>
  </si>
  <si>
    <t>No aplicación de las mecanismos de control establecidos para asegurar laimplementación de los estandares de habilitación en los procesos institucionales.
Falta de adherencia a la resolución 3100 de 2019</t>
  </si>
  <si>
    <t xml:space="preserve">No conformidades por la utilización de formatos desactualizados </t>
  </si>
  <si>
    <t xml:space="preserve"> Sanciones o cierre de servicios</t>
  </si>
  <si>
    <t>Posibilidad de pérdidas económicas o detrimento patrimonial por diferencias en los inventarios físicos asociado a la no adherencia del procedimiento SF-PR-29</t>
  </si>
  <si>
    <t xml:space="preserve"> falta de adherencia al procedimiento SF-PR-29</t>
  </si>
  <si>
    <t xml:space="preserve"> pérdidas económicas o detrimento patrimonial</t>
  </si>
  <si>
    <t>CA-F-18 Acta de reunión.
CA-F-129 Formato listado de asistencia.
Listas de conteo (Generadas por Servinte)
Informe de inventario fisico</t>
  </si>
  <si>
    <t>El director tecnico  de gestion farmaceutica realiza semestralmente el inventario a las bodegas general de farmacia, dispensación, salas de cirugia y  bodega externa de farmacia a traves de las listas de conteo (generadas por servinte) y genera el informe de inventario fisico.</t>
  </si>
  <si>
    <t>Falta de seguimiento de politicas de gestion y desempeño institucional</t>
  </si>
  <si>
    <t>Debilidades de seguimiento y control por parte de los lideres de proceso debido a la falta de identificación, análisis y seguimiento de indicadores</t>
  </si>
  <si>
    <t>Posibilidad de incumplimiento de las metas institucionales  por la no actualización o ausencia de protocolos, guías, procedimientos, formatos, manuales, guías</t>
  </si>
  <si>
    <t>Lista de verificación condiciones de habilitación
Informe de verificación condiciones de habilitación</t>
  </si>
  <si>
    <t>Codificar Lista de verificación condiciones de habilitación</t>
  </si>
  <si>
    <t>Agosto</t>
  </si>
  <si>
    <t>Cuatrimestral</t>
  </si>
  <si>
    <t>Formato Codificado</t>
  </si>
  <si>
    <t>Lider de Habilitación</t>
  </si>
  <si>
    <t>Incumplimiento en las metas institucionales</t>
  </si>
  <si>
    <t>Posibilidad de sanciones Administrativas  debido al incumplimiento de las politicas de gestión y desempeño institucional por falta de implementación y seguimiento</t>
  </si>
  <si>
    <t xml:space="preserve"> sanciones Administrativas </t>
  </si>
  <si>
    <t xml:space="preserve">El profesional de Planeación realiza seguimiento a Planes de acción de las politicas de MIPG, trimestralmente mediante el  Formato OADS-F-20 PLAN INSTITUCIONAL / ESTRATEGICO  </t>
  </si>
  <si>
    <t>No se tiene control documentado</t>
  </si>
  <si>
    <t>Documentar control para el riesgo identificado</t>
  </si>
  <si>
    <t>Lider de procesos</t>
  </si>
  <si>
    <t xml:space="preserve">Agosto </t>
  </si>
  <si>
    <t>Control documentado</t>
  </si>
  <si>
    <t>CODIGO: OADS-F-40</t>
  </si>
  <si>
    <t xml:space="preserve">
Posibilidad de sanciones fiscales, disciplinarios, penales y civiles debido  al no reporte oportuno de rendición de contratos en las plataformas destinadas por los entes de control y seguimiento.(PROCURADURIA, CONTRALORIA, SECOP)</t>
  </si>
  <si>
    <t xml:space="preserve"> OADS-F-20 PLAN INSTITUCIONAL / ESTRATEGICO  
Informe politicas MIPG</t>
  </si>
  <si>
    <t>Crédito</t>
  </si>
  <si>
    <t xml:space="preserve"> Posibilidad de subregistros en los estados financieros por inadecuada aplicación del calculo de deriroro de cartera</t>
  </si>
  <si>
    <t>Liquidez</t>
  </si>
  <si>
    <t xml:space="preserve"> Posibilidad de afectación patrimonial por inadecuada valoración de activos o subestimación de pasivos y costos asociados a los mismos.</t>
  </si>
  <si>
    <t>Gestión de suministros y activos fijos</t>
  </si>
  <si>
    <t>Comercial</t>
  </si>
  <si>
    <t xml:space="preserve">Inadecuda clasificación de la edad de cartera
Incertidumbre de probabilidad de cartera
Inadecuada aplicación de la metodologia </t>
  </si>
  <si>
    <t>Estados de resultados no confiables (no revelen la realidad)</t>
  </si>
  <si>
    <t xml:space="preserve">Ingresos de activos sin factura
</t>
  </si>
  <si>
    <t>Subestimación de los pasivos y de ls obligaciones fiancieras de la entidad</t>
  </si>
  <si>
    <t>Originen mayor demanda de servicios
Mayor costo asociado a la atención de salud.
Sobreocupación.</t>
  </si>
  <si>
    <t>Mercado</t>
  </si>
  <si>
    <t>Actuarial</t>
  </si>
  <si>
    <t>Posibilidad de realizar contratos Presupuesto Global Pespectivo (PGP ) en las empresas responsables de pago que afecten la operación corriente de la entidad por desconocimiento de la población usuaria a atender.</t>
  </si>
  <si>
    <t>No se cuenta con la caracterización de la población a atender
No se cuenta con frecuencia de uso de los servicios / morbilidad.
Falta de identificación de perfil epidemiologico
No realizar analisis adecuado de la propuesta de la modlidad de contratación (PGP)</t>
  </si>
  <si>
    <t>Caracterización de población a atender</t>
  </si>
  <si>
    <t>El coodinador de comercial  y contratación  de servicios de salud una vez se realiza el proceso de contratación  solicita dentro de los docuentos contractuales de la resolución 0441 la caracterización de la población a atender.</t>
  </si>
  <si>
    <t>Pérdida, extravío, hurto, robo o declaratoria de bienes muebles faltantes pertenecientes a la entidad
Perdidas economicas</t>
  </si>
  <si>
    <t>Documetar procedimiento de contratación  y venta de servicios de salud.</t>
  </si>
  <si>
    <t>Coordinador de comercial y cotratación de servicios de salud.</t>
  </si>
  <si>
    <t>Marzo de 2024</t>
  </si>
  <si>
    <t xml:space="preserve">Posibilidad de sanciones por entes de vigilancia y control por error de digitación en la causación y giros con diferencias entre valor pagado y el valor a pagar </t>
  </si>
  <si>
    <t xml:space="preserve"> AF-F-03 LIBRO DE BANCOS, EXTRACTOS BANCARIOS
 FORMATO AF-F-04 CONCILIACION BANCARIA</t>
  </si>
  <si>
    <t>Posibilidad de pérdida económica por un inadecuado control de los activos fijos a causa de la omisión en la aplicación del procedimiento A-PR-05 Control de registro de activos.</t>
  </si>
  <si>
    <t xml:space="preserve"> Omisión en la aplicación del procedimiento A-PR-05 Control de registro de activos.
Traslado de activo fijo sin previo aviso y autorización</t>
  </si>
  <si>
    <t>El tecnico de almacen realiza semestralmente rondas de verificacion de los activos a traves del formato A-F-04 para tener un mayor control de los activos fijos.</t>
  </si>
  <si>
    <t xml:space="preserve">Falta de documentacion completa frente los proceso contractuales
Cambios en la normatividad para la entidad
</t>
  </si>
  <si>
    <t xml:space="preserve">El coordinador de contratación, mensualmente raliza el seguimento de la publicación de contratos en contraloria SIA OBSERVA, envio de oficio con relación de contratos a la procuraduria, publicación de contratos en SECOP II Y pagina WEB institucional </t>
  </si>
  <si>
    <t>el coordinador de contratación revisa los estudios de conveniencia y oportunidad que enmarcan el inicio de proceso de contratación y da aplicación a la resolución 173 de 2021 donde se adopta Manual de contratación</t>
  </si>
  <si>
    <t>El profesional de Cartera realiza actualización diaria del excel CAR-F-14 MATRIZ GENERAL DE CARTERA POR ENTIDAD con los ingresos recibidos para mantener la cartera actualizada según lo establecido en el Procedimiento CAR-PR-08 Registro de Ingresos, la cuales consolidada en acta trimesral y conciliada en contabilidad.</t>
  </si>
  <si>
    <t xml:space="preserve">Posibilidad de Pérdida de recursos economicos por no presentar  acreencia en debida forma </t>
  </si>
  <si>
    <t>Acta Comité cartera
Pantallazo de envios correos electrónicos de los requerimientos.</t>
  </si>
  <si>
    <t>El profesional de facturación lider de armado y radicacion mensualmente,registra en archivo excel el  seguimiento y requerimiento a las facturas en estado AP, dando cumplimiento a la radicación de los pendientes  del mes siguiente quedando exclusivamente los casos excepcioales que no permitan su radicación,  según lo establecido en el Procedimiento F-PR-01 Armado y Radicación de Cuentas de acuerdo a la actividad 19, la información se consolida en acta de cartera.</t>
  </si>
  <si>
    <t xml:space="preserve">Reporte de identificación de inconsistencias enviado por el area de ESENCIA
 interface para enviar a contabildiad </t>
  </si>
  <si>
    <t xml:space="preserve">Reporte diario de corresponencia 
 GD-F-03 Formato de resgistro y radicación de correspondencia enviada, 
GD-F-02  Formato de resgistro y radicación de correspondencia recibida 
</t>
  </si>
  <si>
    <t>El auxiliar administrativo de la oficina de correspondencia realiza la trazabilidad de recepción y distribución de documentos recepcionados en la oficina de correspondencia el cual lo registra en el formato GD-F-03  Formato de resgistro y radicación de correspondencia enviada Y GD-F-02  Formato de resgistro y radicación de correspondencia recibida conforme a lo definido en los  los  Procedimientos GD-PR-07,  para no incurrir en incumplimientos de términos de respuesta</t>
  </si>
  <si>
    <t>El líder de comunicaciones aprueba a necsidad  las comunicaciones internas, altavoces, registrados en los formatos C-F-02 solicitud de piezas comunicativas, C-F-03 formato de pubicación de contenido de voy y CF-04 programación de mensajes institucionales altavoz teniendo encuenta el procedimiento C-PR-01 comunicados internos.</t>
  </si>
  <si>
    <t>Posibilidad de fallas a infraestructura, equipos industriales y/o mobiliario pr falta de mantenimientos preventivos</t>
  </si>
  <si>
    <t>El lider de habilitación de acuerdo  a cronograma realiza rondas de verificación de servicios por medio de la lista de verificación condiciones de habilitación y presenta informe de verificación condiciones de habilitación</t>
  </si>
  <si>
    <t xml:space="preserve">Medicamentos y dispositivos medicos con fechas de vencimiento menor a 3 meses.
Medicamentos y dispositivos medicos sin registro INVIMA
Medicamentos y dispositivos medicos con averias y/o sin cadena de frio
</t>
  </si>
  <si>
    <t>Medicamentos sin cadena de frio que afecten su estabilidad.
Contaminacion cruzada
vencimiento de medicamentos y/o dispositivos medicos</t>
  </si>
  <si>
    <t xml:space="preserve">
Perdida de recursos economicos
vencimiento de medicamentos y/o dispositivos medicos</t>
  </si>
  <si>
    <t>Posibilidad de interrupción de tratamiento medico por desabastecimiento de medicamentos y o dispositivos medicos</t>
  </si>
  <si>
    <t>desabastecimiento de medicamentos y o dispositivos medicos</t>
  </si>
  <si>
    <t>Solicitud de restamo.
Cambio de alternativa terapeutica.
Contrato de emergencia</t>
  </si>
  <si>
    <t>El Tesorero mensualmente realiza conciliación bancaria  con respecto a los pagos realizados durante el mes a fin de corrroborar lo valores pagados frente a las cuentas por pagar  el cual se registra en los formato AF-F-03 LIBRO DE BANCOS, EXTRACTOS BANCARIOS Y FORMATO AF-F-04 CONCILIACION BANCARIA teniendo en cuenta el procedimiento AF-PR-37 CONCILIACION DIARIA Y MENSUAL DE BANCO</t>
  </si>
  <si>
    <t>Disfon enviado por la oficina de Talento humano
acta de verificación</t>
  </si>
  <si>
    <t xml:space="preserve">El profesional universitario de tesoreria realiza mensualmente arqueos a las cajas de facturación y diariamente a caja general, el cual lo registra en el formato  A-F-01 Arqueo de caja  de acuerdo a lo establecido en el procedimiento AF-PR-08 </t>
  </si>
  <si>
    <t xml:space="preserve">El coordinador de  almacén asigna un responsable a cada activo fijo nuevo que ingrese al Hospital, conforme a lo que establece la actividad 5 del procedimiento A-PR-05 Control y Registro de Activos Fijos mediante el formato A-F-02 Registro de activos fijos </t>
  </si>
  <si>
    <t xml:space="preserve">Posibidad de detrimento patrimonial, procesos disciplinarios, no  oportunidad en la prestaciòn del servicio por Falta de adherencia al procedimiento A-PR-06 Inventario Físco de Bodega 
</t>
  </si>
  <si>
    <t xml:space="preserve">Falta de  seguimiento a los controles establecidos con una periodicidad
Falta de adherencia al procedimiento A-PR-06 Inventario Físco de Bodega 
</t>
  </si>
  <si>
    <t>El coordinador de almacén realiza un control de inventarios físicos de bodega semestralmente de acuerdo a lo establecido en el Procedimiento A-PR-06 Inventario Físco de Bodega a través del formato A-F-17 Acta final de inventario y reporte de inventario de Servinte</t>
  </si>
  <si>
    <t>El coordinador de almacen  quien es responsable de entregar información a contabilidad, mensulalmente envía por correo electrónico pantallazo de la interface, conforme  a lo establecido en la Resolución interna 048 de 2022</t>
  </si>
  <si>
    <t>No aplicación de la  resolución 173 de 2021 donde se adopta Manual de contratación
Falta de adherencia manual de contratción en sus modadlidades de contrato</t>
  </si>
  <si>
    <t xml:space="preserve">Falta de realización de estudios mercados 
Desconocimiento del manual de contratación </t>
  </si>
  <si>
    <t>Los supervisores de contratos según necesdad verifican que e estudio de conveniencia y oportunidad cumpla con el lleno de requisitos de su elaboración de acuerdo a lo establecido en el manual de contratación mediante lo formatos C-F-27 y C-F-28 dependiendo de la modalidad de contratación</t>
  </si>
  <si>
    <t xml:space="preserve">Variaciones en las cotizaciones,
Retardos de la preparación de los estudios de conveniencia
Desconocimiento del manual de contratación </t>
  </si>
  <si>
    <r>
      <rPr>
        <b/>
        <sz val="10"/>
        <color theme="1"/>
        <rFont val="Tahoma"/>
        <family val="2"/>
      </rPr>
      <t>Etapa Respuesta a Glosas</t>
    </r>
    <r>
      <rPr>
        <sz val="10"/>
        <color theme="1"/>
        <rFont val="Tahoma"/>
        <family val="2"/>
      </rPr>
      <t xml:space="preserve">
Posibilidad de disminución en los ingresos por falta de seguimiento, debido a la extemporaneidad en la respuesta a glosa inicial</t>
    </r>
  </si>
  <si>
    <t xml:space="preserve">falta de seguimiento, debido a la extemporaneidad en la respuesta a glosa inicial
Falta de seguimiento a la semaforización de la glosa.
Desconocimiento de la normatividad
</t>
  </si>
  <si>
    <r>
      <rPr>
        <b/>
        <sz val="10"/>
        <color theme="1"/>
        <rFont val="Tahoma"/>
        <family val="2"/>
      </rPr>
      <t>Etapa Respuesta a Glosas</t>
    </r>
    <r>
      <rPr>
        <sz val="10"/>
        <color theme="1"/>
        <rFont val="Tahoma"/>
        <family val="2"/>
      </rPr>
      <t xml:space="preserve">
Posibilidad de no identificación de las causales de la glosa debido a falta de codificación de la glosa y devoluciones.</t>
    </r>
  </si>
  <si>
    <t xml:space="preserve">Omisión de la  identificación y codificación de la glosa y devoluciones.
Desconocimiento de la normatividad
</t>
  </si>
  <si>
    <r>
      <rPr>
        <b/>
        <sz val="10"/>
        <color theme="1"/>
        <rFont val="Tahoma"/>
        <family val="2"/>
      </rPr>
      <t xml:space="preserve">Etapa Respuesta a devoluciones
</t>
    </r>
    <r>
      <rPr>
        <sz val="10"/>
        <color theme="1"/>
        <rFont val="Tahoma"/>
        <family val="2"/>
      </rPr>
      <t xml:space="preserve">
Posibilidad de No reconocimiento de los servicios prestados debido a  Falta de gestión de cuentas devueltas </t>
    </r>
  </si>
  <si>
    <r>
      <rPr>
        <b/>
        <sz val="10"/>
        <color theme="1"/>
        <rFont val="Tahoma"/>
        <family val="2"/>
      </rPr>
      <t xml:space="preserve">Etapa Conciliación de glosas
</t>
    </r>
    <r>
      <rPr>
        <sz val="10"/>
        <color theme="1"/>
        <rFont val="Tahoma"/>
        <family val="2"/>
      </rPr>
      <t xml:space="preserve">
Posibilidad de demora en el flujo de recursos debido al no acuerdo de conciliación de glosas entre las partes por diferencia de conceptos</t>
    </r>
  </si>
  <si>
    <t xml:space="preserve">Diferencia de conceptos para llegar a acuerdo de conciliación entre las partes.
Desconocimiento de la normatividad
</t>
  </si>
  <si>
    <t>Acta trimestral de Conciliación con contabilidad,
CAR-F-14 MATRIZ GENERAL DE CARTERA POR ENTIDAD</t>
  </si>
  <si>
    <t>El líder de cartera realiza seguimiento según necesidad a la  Presentación del formulario de acreencia debidamente radicado ante la EAPB, mediante formulario  de presentación de acreencia.</t>
  </si>
  <si>
    <t>Falta de adherencia al procedimiento por el responsables del reporte de transferencias.
Incumplimiento al cronograma de TRD</t>
  </si>
  <si>
    <t xml:space="preserve">Posibilidad de Interrupción del servicio que afecte la infraestructura tecnológica de la entidad por causa de falta de mantenimientos </t>
  </si>
  <si>
    <t xml:space="preserve">No adherencia a las buenas practicas para el manejo de los equipos biomedicos 
Manipulación inadecuada de equipos
Falta de capacitación
</t>
  </si>
  <si>
    <t>Falta de mantenimiento
Falta de adherencia al procedimiento  MAN-PR-01</t>
  </si>
  <si>
    <t>Posibilidad de Incumplimiento de Términos Legales frente a la Acción de Tutela por la Entrega tardía de la respuesta por parte del área involucrada</t>
  </si>
  <si>
    <t>El líder de la unidad estadistica valida el reporte  del sistema de información DARUMA, mensualmente y trimestralmente el anaisis y los planes de mejora de los indicadores de los procesos</t>
  </si>
  <si>
    <t>Informe de indicadores del sistema de información DARUMA</t>
  </si>
  <si>
    <t>El profesional de procesos y procedimientos de la la oficina de calidad validad mensualmente el estado de los documentos del proceso, reporte descargado del sistema de información DARUMA</t>
  </si>
  <si>
    <t xml:space="preserve">Informe de estado de los documentos del  procesos </t>
  </si>
  <si>
    <t>El referente de procesos prioritarios mensualmente valida la actualización de las guias de practica clinica de los procesos, el cual realiza envio a los correos electronicos para actualizaciónpor parte de los procesos y genera informe semestral del estado de la guias de practica clinica</t>
  </si>
  <si>
    <t>Envio de correos electronicos
Informe de actualización de guias de practica clinica</t>
  </si>
  <si>
    <t>el regente de farmarcia verifica el correcto almacenamiento de medicamentos y dispostivos medicos a traves del formato SF-F-58 "Control de inventarios y fechas de vencimiento"</t>
  </si>
  <si>
    <t xml:space="preserve">Posibilidad de perdida de recursos economicos por vencimiento de medicamentos y dispositivos medicos </t>
  </si>
  <si>
    <t>Falta de rondas de verificación de fechas de vencimiento
Rotación de medicamentos y / o dispositivos medicos
Falta de adherencia al procedimiento SF-PR-01</t>
  </si>
  <si>
    <t xml:space="preserve">Interrupción de tratamientos medicos.
Cancelación de cirugias
</t>
  </si>
  <si>
    <t>El director tecnico  de gestion farmaceutica a necesidad identifica la causa  del desabastecimiento y evalua las alternativas (solicitud de prestamo, cambio de alternativaa terapeutica o contrato de emergencia, para evitar el desabastecimiento de medicamentos y/o dispositivos medicos</t>
  </si>
  <si>
    <t>Posibilidad de sanciones administrativas por  respuestas a quejas fuera de téminos debido a la inoportunidad en la respuesta  por parte de las áreas implicadas</t>
  </si>
  <si>
    <t>sanciones administrativas
 Respuestas a quejas fuera de téminos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</si>
</sst>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24"/>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8"/>
      <color theme="1"/>
      <name val="Tahoma"/>
      <family val="2"/>
    </font>
    <font>
      <b/>
      <sz val="9"/>
      <color indexed="81"/>
      <name val="Tahoma"/>
      <family val="2"/>
    </font>
    <font>
      <sz val="9"/>
      <color indexed="81"/>
      <name val="Tahoma"/>
      <family val="2"/>
    </font>
    <font>
      <sz val="10"/>
      <color rgb="FFFF0000"/>
      <name val="Tahoma"/>
      <family val="2"/>
    </font>
    <font>
      <b/>
      <sz val="8"/>
      <color rgb="FFFF0000"/>
      <name val="Tahoma"/>
      <family val="2"/>
    </font>
    <font>
      <b/>
      <sz val="14"/>
      <color theme="1"/>
      <name val="Tahoma"/>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theme="1"/>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bottom/>
      <diagonal/>
    </border>
    <border>
      <left style="thin">
        <color indexed="64"/>
      </left>
      <right/>
      <top style="thin">
        <color theme="1"/>
      </top>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style="thin">
        <color indexed="64"/>
      </bottom>
      <diagonal/>
    </border>
    <border>
      <left style="thin">
        <color theme="1"/>
      </left>
      <right style="thin">
        <color indexed="64"/>
      </right>
      <top style="thin">
        <color theme="1"/>
      </top>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dashed">
        <color theme="9" tint="-0.24994659260841701"/>
      </right>
      <top style="thin">
        <color indexed="64"/>
      </top>
      <bottom/>
      <diagonal/>
    </border>
    <border>
      <left style="thin">
        <color indexed="64"/>
      </left>
      <right style="dashed">
        <color theme="9" tint="-0.24994659260841701"/>
      </right>
      <top/>
      <bottom/>
      <diagonal/>
    </border>
    <border>
      <left style="thin">
        <color theme="1"/>
      </left>
      <right/>
      <top/>
      <bottom/>
      <diagonal/>
    </border>
    <border>
      <left style="thin">
        <color indexed="64"/>
      </left>
      <right style="thin">
        <color indexed="64"/>
      </right>
      <top style="thin">
        <color theme="1"/>
      </top>
      <bottom/>
      <diagonal/>
    </border>
    <border>
      <left style="thin">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diagonal/>
    </border>
    <border>
      <left/>
      <right style="thin">
        <color theme="1"/>
      </right>
      <top/>
      <bottom/>
      <diagonal/>
    </border>
    <border>
      <left/>
      <right style="thin">
        <color theme="1"/>
      </right>
      <top style="thin">
        <color theme="1"/>
      </top>
      <bottom/>
      <diagonal/>
    </border>
    <border>
      <left/>
      <right/>
      <top style="thin">
        <color theme="1"/>
      </top>
      <bottom/>
      <diagonal/>
    </border>
    <border>
      <left style="thin">
        <color theme="1"/>
      </left>
      <right style="thin">
        <color indexed="64"/>
      </right>
      <top/>
      <bottom/>
      <diagonal/>
    </border>
    <border>
      <left style="thin">
        <color theme="1"/>
      </left>
      <right/>
      <top style="thin">
        <color theme="1"/>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indexed="64"/>
      </left>
      <right style="thin">
        <color theme="1"/>
      </right>
      <top/>
      <bottom style="thin">
        <color theme="1"/>
      </bottom>
      <diagonal/>
    </border>
  </borders>
  <cellStyleXfs count="5">
    <xf numFmtId="0" fontId="0" fillId="0" borderId="0"/>
    <xf numFmtId="9" fontId="12" fillId="0" borderId="0" applyFont="0" applyFill="0" applyBorder="0" applyAlignment="0" applyProtection="0"/>
    <xf numFmtId="0" fontId="42" fillId="0" borderId="0"/>
    <xf numFmtId="0" fontId="43" fillId="0" borderId="0"/>
    <xf numFmtId="0" fontId="4" fillId="0" borderId="0"/>
  </cellStyleXfs>
  <cellXfs count="70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4" fillId="0" borderId="0" xfId="0" applyFont="1" applyAlignment="1">
      <alignment vertical="center"/>
    </xf>
    <xf numFmtId="0" fontId="25" fillId="0" borderId="0" xfId="0" applyFont="1"/>
    <xf numFmtId="0" fontId="23" fillId="0" borderId="0" xfId="0" applyFont="1"/>
    <xf numFmtId="0" fontId="0" fillId="0" borderId="0" xfId="0" pivotButton="1"/>
    <xf numFmtId="0" fontId="10" fillId="0" borderId="0" xfId="0" applyFont="1" applyAlignment="1">
      <alignment horizontal="justify" vertical="center" wrapText="1" readingOrder="1"/>
    </xf>
    <xf numFmtId="0" fontId="26" fillId="0" borderId="0" xfId="0" applyFont="1"/>
    <xf numFmtId="0" fontId="28" fillId="6" borderId="0" xfId="0" applyFont="1" applyFill="1" applyAlignment="1">
      <alignment horizontal="center" vertical="center" wrapText="1" readingOrder="1"/>
    </xf>
    <xf numFmtId="0" fontId="29" fillId="0" borderId="2"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2"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29" fillId="0" borderId="2"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6" fillId="11" borderId="0" xfId="0" applyFont="1" applyFill="1" applyAlignment="1" applyProtection="1">
      <alignment horizontal="center" vertical="center" wrapText="1" readingOrder="1"/>
      <protection hidden="1"/>
    </xf>
    <xf numFmtId="0" fontId="16" fillId="12" borderId="0" xfId="0" applyFont="1" applyFill="1" applyAlignment="1" applyProtection="1">
      <alignment horizontal="center" wrapText="1" readingOrder="1"/>
      <protection hidden="1"/>
    </xf>
    <xf numFmtId="0" fontId="16" fillId="13" borderId="0" xfId="0" applyFont="1" applyFill="1" applyAlignment="1" applyProtection="1">
      <alignment horizontal="center" wrapText="1" readingOrder="1"/>
      <protection hidden="1"/>
    </xf>
    <xf numFmtId="0" fontId="16" fillId="5" borderId="0" xfId="0" applyFont="1" applyFill="1" applyAlignment="1" applyProtection="1">
      <alignment horizontal="center" wrapText="1" readingOrder="1"/>
      <protection hidden="1"/>
    </xf>
    <xf numFmtId="0" fontId="0" fillId="3" borderId="0" xfId="0" applyFill="1"/>
    <xf numFmtId="0" fontId="44" fillId="3" borderId="31" xfId="2" applyFont="1" applyFill="1" applyBorder="1"/>
    <xf numFmtId="0" fontId="44" fillId="3" borderId="32" xfId="2" applyFont="1" applyFill="1" applyBorder="1"/>
    <xf numFmtId="0" fontId="44" fillId="3" borderId="33" xfId="2" applyFont="1" applyFill="1" applyBorder="1"/>
    <xf numFmtId="0" fontId="14" fillId="3" borderId="0" xfId="0" applyFont="1" applyFill="1" applyAlignment="1">
      <alignment vertical="center"/>
    </xf>
    <xf numFmtId="0" fontId="4" fillId="3" borderId="0" xfId="0" applyFont="1" applyFill="1"/>
    <xf numFmtId="0" fontId="32" fillId="3" borderId="0" xfId="0" applyFont="1" applyFill="1"/>
    <xf numFmtId="0" fontId="33" fillId="3" borderId="14" xfId="0" applyFont="1" applyFill="1" applyBorder="1" applyAlignment="1">
      <alignment horizontal="center" vertical="center" wrapText="1" readingOrder="1"/>
    </xf>
    <xf numFmtId="0" fontId="34" fillId="3" borderId="14" xfId="0" applyFont="1" applyFill="1" applyBorder="1" applyAlignment="1">
      <alignment horizontal="justify" vertical="center" wrapText="1" readingOrder="1"/>
    </xf>
    <xf numFmtId="9" fontId="33" fillId="3" borderId="23" xfId="0" applyNumberFormat="1"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4" fillId="3" borderId="13" xfId="0" applyFont="1" applyFill="1" applyBorder="1" applyAlignment="1">
      <alignment horizontal="justify" vertical="center" wrapText="1" readingOrder="1"/>
    </xf>
    <xf numFmtId="9" fontId="33" fillId="3" borderId="18" xfId="0" applyNumberFormat="1" applyFont="1" applyFill="1" applyBorder="1" applyAlignment="1">
      <alignment horizontal="center" vertical="center" wrapText="1" readingOrder="1"/>
    </xf>
    <xf numFmtId="0" fontId="34" fillId="3" borderId="18" xfId="0" applyFont="1" applyFill="1" applyBorder="1" applyAlignment="1">
      <alignment horizontal="center" vertical="center" wrapText="1" readingOrder="1"/>
    </xf>
    <xf numFmtId="0" fontId="33" fillId="3" borderId="20" xfId="0" applyFont="1" applyFill="1" applyBorder="1" applyAlignment="1">
      <alignment horizontal="center" vertical="center" wrapText="1" readingOrder="1"/>
    </xf>
    <xf numFmtId="0" fontId="34" fillId="3" borderId="20" xfId="0" applyFont="1" applyFill="1" applyBorder="1" applyAlignment="1">
      <alignment horizontal="justify" vertical="center" wrapText="1" readingOrder="1"/>
    </xf>
    <xf numFmtId="0" fontId="34" fillId="3" borderId="21" xfId="0" applyFont="1" applyFill="1" applyBorder="1" applyAlignment="1">
      <alignment horizontal="center" vertical="center" wrapText="1" readingOrder="1"/>
    </xf>
    <xf numFmtId="0" fontId="41" fillId="3" borderId="0" xfId="0" applyFont="1" applyFill="1"/>
    <xf numFmtId="0" fontId="33" fillId="15" borderId="25" xfId="0" applyFont="1" applyFill="1" applyBorder="1" applyAlignment="1">
      <alignment horizontal="center" vertical="center" wrapText="1" readingOrder="1"/>
    </xf>
    <xf numFmtId="0" fontId="33" fillId="15" borderId="26" xfId="0" applyFont="1" applyFill="1" applyBorder="1" applyAlignment="1">
      <alignment horizontal="center" vertical="center" wrapText="1" readingOrder="1"/>
    </xf>
    <xf numFmtId="0" fontId="11" fillId="3" borderId="0" xfId="0" applyFont="1" applyFill="1"/>
    <xf numFmtId="0" fontId="27"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4" fillId="3" borderId="3" xfId="2" applyFont="1" applyFill="1" applyBorder="1"/>
    <xf numFmtId="0" fontId="49" fillId="3" borderId="0" xfId="0" applyFont="1" applyFill="1" applyAlignment="1">
      <alignment horizontal="left" vertical="center" wrapText="1"/>
    </xf>
    <xf numFmtId="0" fontId="50" fillId="3" borderId="0" xfId="0" applyFont="1" applyFill="1" applyAlignment="1">
      <alignment horizontal="left" vertical="top" wrapText="1"/>
    </xf>
    <xf numFmtId="0" fontId="44" fillId="3" borderId="0" xfId="2" applyFont="1" applyFill="1"/>
    <xf numFmtId="0" fontId="44" fillId="3" borderId="4" xfId="2" applyFont="1" applyFill="1" applyBorder="1"/>
    <xf numFmtId="0" fontId="44" fillId="3" borderId="5" xfId="2" applyFont="1" applyFill="1" applyBorder="1"/>
    <xf numFmtId="0" fontId="44" fillId="3" borderId="7" xfId="2" applyFont="1" applyFill="1" applyBorder="1"/>
    <xf numFmtId="0" fontId="44" fillId="3" borderId="6" xfId="2" applyFont="1" applyFill="1" applyBorder="1"/>
    <xf numFmtId="0" fontId="48" fillId="3" borderId="0" xfId="2" applyFont="1" applyFill="1" applyAlignment="1">
      <alignment horizontal="left" vertical="center" wrapText="1"/>
    </xf>
    <xf numFmtId="0" fontId="44" fillId="3" borderId="0" xfId="2" applyFont="1" applyFill="1" applyAlignment="1">
      <alignment horizontal="left" vertical="center" wrapText="1"/>
    </xf>
    <xf numFmtId="0" fontId="44" fillId="3" borderId="0" xfId="2" quotePrefix="1" applyFont="1" applyFill="1" applyAlignment="1">
      <alignment horizontal="left" vertical="center" wrapText="1"/>
    </xf>
    <xf numFmtId="0" fontId="46" fillId="3" borderId="3" xfId="2" quotePrefix="1" applyFont="1" applyFill="1" applyBorder="1" applyAlignment="1">
      <alignment horizontal="left" vertical="top" wrapText="1"/>
    </xf>
    <xf numFmtId="0" fontId="47" fillId="3" borderId="0" xfId="2" quotePrefix="1" applyFont="1" applyFill="1" applyAlignment="1">
      <alignment horizontal="left" vertical="top" wrapText="1"/>
    </xf>
    <xf numFmtId="0" fontId="47" fillId="3" borderId="4" xfId="2" quotePrefix="1" applyFont="1" applyFill="1" applyBorder="1" applyAlignment="1">
      <alignment horizontal="left" vertical="top" wrapText="1"/>
    </xf>
    <xf numFmtId="0" fontId="53" fillId="3" borderId="0" xfId="0" applyFont="1" applyFill="1"/>
    <xf numFmtId="0" fontId="53" fillId="0" borderId="0" xfId="0" applyFont="1"/>
    <xf numFmtId="0" fontId="54" fillId="0" borderId="0" xfId="0" applyFont="1" applyAlignment="1">
      <alignment horizontal="center" vertical="center"/>
    </xf>
    <xf numFmtId="0" fontId="53" fillId="3" borderId="0" xfId="0" applyFont="1" applyFill="1" applyAlignment="1">
      <alignment vertical="center"/>
    </xf>
    <xf numFmtId="0" fontId="53" fillId="0" borderId="0" xfId="0" applyFont="1" applyAlignment="1">
      <alignment vertical="center"/>
    </xf>
    <xf numFmtId="9" fontId="53" fillId="0" borderId="13" xfId="0" applyNumberFormat="1" applyFont="1" applyBorder="1" applyAlignment="1" applyProtection="1">
      <alignment horizontal="center" vertical="center"/>
      <protection hidden="1"/>
    </xf>
    <xf numFmtId="0" fontId="54" fillId="0" borderId="13" xfId="0" applyFont="1" applyBorder="1" applyAlignment="1" applyProtection="1">
      <alignment horizontal="center" vertical="center" textRotation="90" wrapText="1"/>
      <protection hidden="1"/>
    </xf>
    <xf numFmtId="0" fontId="54" fillId="0" borderId="13" xfId="0" applyFont="1" applyBorder="1" applyAlignment="1" applyProtection="1">
      <alignment horizontal="center" vertical="center" textRotation="90"/>
      <protection hidden="1"/>
    </xf>
    <xf numFmtId="14" fontId="53" fillId="0" borderId="13" xfId="0" applyNumberFormat="1" applyFont="1" applyBorder="1" applyAlignment="1" applyProtection="1">
      <alignment horizontal="center" vertical="center"/>
      <protection locked="0"/>
    </xf>
    <xf numFmtId="0" fontId="53" fillId="0" borderId="0" xfId="0" applyFont="1" applyAlignment="1">
      <alignment horizontal="center" vertical="center"/>
    </xf>
    <xf numFmtId="0" fontId="53" fillId="0" borderId="0" xfId="0" applyFont="1" applyAlignment="1">
      <alignment horizontal="center"/>
    </xf>
    <xf numFmtId="0" fontId="16" fillId="11" borderId="65" xfId="0" applyFont="1" applyFill="1" applyBorder="1" applyAlignment="1" applyProtection="1">
      <alignment horizontal="center" vertical="center" wrapText="1" readingOrder="1"/>
      <protection hidden="1"/>
    </xf>
    <xf numFmtId="0" fontId="16" fillId="11" borderId="32" xfId="0" applyFont="1" applyFill="1" applyBorder="1" applyAlignment="1" applyProtection="1">
      <alignment horizontal="center" vertical="center" wrapText="1" readingOrder="1"/>
      <protection hidden="1"/>
    </xf>
    <xf numFmtId="0" fontId="16" fillId="11" borderId="66" xfId="0" applyFont="1" applyFill="1" applyBorder="1" applyAlignment="1" applyProtection="1">
      <alignment horizontal="center" vertical="center" wrapText="1" readingOrder="1"/>
      <protection hidden="1"/>
    </xf>
    <xf numFmtId="0" fontId="16" fillId="11" borderId="58" xfId="0" applyFont="1" applyFill="1" applyBorder="1" applyAlignment="1" applyProtection="1">
      <alignment horizontal="center" vertical="center" wrapText="1" readingOrder="1"/>
      <protection hidden="1"/>
    </xf>
    <xf numFmtId="0" fontId="16" fillId="11" borderId="56" xfId="0" applyFont="1" applyFill="1" applyBorder="1" applyAlignment="1" applyProtection="1">
      <alignment horizontal="center" vertical="center" wrapText="1" readingOrder="1"/>
      <protection hidden="1"/>
    </xf>
    <xf numFmtId="0" fontId="16" fillId="11" borderId="55" xfId="0" applyFont="1" applyFill="1" applyBorder="1" applyAlignment="1" applyProtection="1">
      <alignment horizontal="center" vertical="center" wrapText="1" readingOrder="1"/>
      <protection hidden="1"/>
    </xf>
    <xf numFmtId="0" fontId="16" fillId="11" borderId="49" xfId="0" applyFont="1" applyFill="1" applyBorder="1" applyAlignment="1" applyProtection="1">
      <alignment horizontal="center" vertical="center" wrapText="1" readingOrder="1"/>
      <protection hidden="1"/>
    </xf>
    <xf numFmtId="0" fontId="16" fillId="11" borderId="57" xfId="0" applyFont="1" applyFill="1" applyBorder="1" applyAlignment="1" applyProtection="1">
      <alignment horizontal="center" vertical="center" wrapText="1" readingOrder="1"/>
      <protection hidden="1"/>
    </xf>
    <xf numFmtId="0" fontId="16" fillId="12" borderId="65" xfId="0" applyFont="1" applyFill="1" applyBorder="1" applyAlignment="1" applyProtection="1">
      <alignment horizontal="center" wrapText="1" readingOrder="1"/>
      <protection hidden="1"/>
    </xf>
    <xf numFmtId="0" fontId="16" fillId="12" borderId="32" xfId="0" applyFont="1" applyFill="1" applyBorder="1" applyAlignment="1" applyProtection="1">
      <alignment horizontal="center" wrapText="1" readingOrder="1"/>
      <protection hidden="1"/>
    </xf>
    <xf numFmtId="0" fontId="16" fillId="12" borderId="66" xfId="0" applyFont="1" applyFill="1" applyBorder="1" applyAlignment="1" applyProtection="1">
      <alignment horizontal="center" wrapText="1" readingOrder="1"/>
      <protection hidden="1"/>
    </xf>
    <xf numFmtId="0" fontId="16" fillId="12" borderId="58" xfId="0" applyFont="1" applyFill="1" applyBorder="1" applyAlignment="1" applyProtection="1">
      <alignment horizontal="center" wrapText="1" readingOrder="1"/>
      <protection hidden="1"/>
    </xf>
    <xf numFmtId="0" fontId="16" fillId="12" borderId="56" xfId="0" applyFont="1" applyFill="1" applyBorder="1" applyAlignment="1" applyProtection="1">
      <alignment horizontal="center" wrapText="1" readingOrder="1"/>
      <protection hidden="1"/>
    </xf>
    <xf numFmtId="0" fontId="16" fillId="12" borderId="55" xfId="0" applyFont="1" applyFill="1" applyBorder="1" applyAlignment="1" applyProtection="1">
      <alignment horizontal="center" wrapText="1" readingOrder="1"/>
      <protection hidden="1"/>
    </xf>
    <xf numFmtId="0" fontId="16" fillId="12" borderId="49" xfId="0" applyFont="1" applyFill="1" applyBorder="1" applyAlignment="1" applyProtection="1">
      <alignment horizontal="center" wrapText="1" readingOrder="1"/>
      <protection hidden="1"/>
    </xf>
    <xf numFmtId="0" fontId="16" fillId="12" borderId="57" xfId="0" applyFont="1" applyFill="1" applyBorder="1" applyAlignment="1" applyProtection="1">
      <alignment horizontal="center" wrapText="1" readingOrder="1"/>
      <protection hidden="1"/>
    </xf>
    <xf numFmtId="0" fontId="16" fillId="13" borderId="65" xfId="0" applyFont="1" applyFill="1" applyBorder="1" applyAlignment="1" applyProtection="1">
      <alignment horizontal="center" wrapText="1" readingOrder="1"/>
      <protection hidden="1"/>
    </xf>
    <xf numFmtId="0" fontId="16" fillId="13" borderId="32" xfId="0" applyFont="1" applyFill="1" applyBorder="1" applyAlignment="1" applyProtection="1">
      <alignment horizontal="center" wrapText="1" readingOrder="1"/>
      <protection hidden="1"/>
    </xf>
    <xf numFmtId="0" fontId="16" fillId="13" borderId="66" xfId="0" applyFont="1" applyFill="1" applyBorder="1" applyAlignment="1" applyProtection="1">
      <alignment horizontal="center" wrapText="1" readingOrder="1"/>
      <protection hidden="1"/>
    </xf>
    <xf numFmtId="0" fontId="16" fillId="13" borderId="58" xfId="0" applyFont="1" applyFill="1" applyBorder="1" applyAlignment="1" applyProtection="1">
      <alignment horizontal="center" wrapText="1" readingOrder="1"/>
      <protection hidden="1"/>
    </xf>
    <xf numFmtId="0" fontId="16" fillId="13" borderId="56" xfId="0" applyFont="1" applyFill="1" applyBorder="1" applyAlignment="1" applyProtection="1">
      <alignment horizontal="center" wrapText="1" readingOrder="1"/>
      <protection hidden="1"/>
    </xf>
    <xf numFmtId="0" fontId="16" fillId="13" borderId="55" xfId="0" applyFont="1" applyFill="1" applyBorder="1" applyAlignment="1" applyProtection="1">
      <alignment horizontal="center" wrapText="1" readingOrder="1"/>
      <protection hidden="1"/>
    </xf>
    <xf numFmtId="0" fontId="16" fillId="13" borderId="49" xfId="0" applyFont="1" applyFill="1" applyBorder="1" applyAlignment="1" applyProtection="1">
      <alignment horizontal="center" wrapText="1" readingOrder="1"/>
      <protection hidden="1"/>
    </xf>
    <xf numFmtId="0" fontId="16" fillId="13" borderId="57" xfId="0" applyFont="1" applyFill="1" applyBorder="1" applyAlignment="1" applyProtection="1">
      <alignment horizontal="center" wrapText="1" readingOrder="1"/>
      <protection hidden="1"/>
    </xf>
    <xf numFmtId="0" fontId="16" fillId="5" borderId="65" xfId="0" applyFont="1" applyFill="1" applyBorder="1" applyAlignment="1" applyProtection="1">
      <alignment horizontal="center" wrapText="1" readingOrder="1"/>
      <protection hidden="1"/>
    </xf>
    <xf numFmtId="0" fontId="16" fillId="5" borderId="32" xfId="0" applyFont="1" applyFill="1" applyBorder="1" applyAlignment="1" applyProtection="1">
      <alignment horizontal="center" wrapText="1" readingOrder="1"/>
      <protection hidden="1"/>
    </xf>
    <xf numFmtId="0" fontId="16" fillId="5" borderId="66" xfId="0" applyFont="1" applyFill="1" applyBorder="1" applyAlignment="1" applyProtection="1">
      <alignment horizontal="center" wrapText="1" readingOrder="1"/>
      <protection hidden="1"/>
    </xf>
    <xf numFmtId="0" fontId="16" fillId="5" borderId="58" xfId="0" applyFont="1" applyFill="1" applyBorder="1" applyAlignment="1" applyProtection="1">
      <alignment horizontal="center" wrapText="1" readingOrder="1"/>
      <protection hidden="1"/>
    </xf>
    <xf numFmtId="0" fontId="16" fillId="5" borderId="56" xfId="0" applyFont="1" applyFill="1" applyBorder="1" applyAlignment="1" applyProtection="1">
      <alignment horizontal="center" wrapText="1" readingOrder="1"/>
      <protection hidden="1"/>
    </xf>
    <xf numFmtId="0" fontId="16" fillId="5" borderId="55" xfId="0" applyFont="1" applyFill="1" applyBorder="1" applyAlignment="1" applyProtection="1">
      <alignment horizontal="center" wrapText="1" readingOrder="1"/>
      <protection hidden="1"/>
    </xf>
    <xf numFmtId="0" fontId="16" fillId="5" borderId="49" xfId="0" applyFont="1" applyFill="1" applyBorder="1" applyAlignment="1" applyProtection="1">
      <alignment horizontal="center" wrapText="1" readingOrder="1"/>
      <protection hidden="1"/>
    </xf>
    <xf numFmtId="0" fontId="16" fillId="5" borderId="57" xfId="0" applyFont="1" applyFill="1" applyBorder="1" applyAlignment="1" applyProtection="1">
      <alignment horizontal="center" wrapText="1" readingOrder="1"/>
      <protection hidden="1"/>
    </xf>
    <xf numFmtId="0" fontId="20" fillId="13" borderId="32" xfId="0" applyFont="1" applyFill="1" applyBorder="1" applyAlignment="1" applyProtection="1">
      <alignment horizontal="center" wrapText="1" readingOrder="1"/>
      <protection hidden="1"/>
    </xf>
    <xf numFmtId="0" fontId="49" fillId="3" borderId="51" xfId="0" applyFont="1" applyFill="1" applyBorder="1" applyAlignment="1">
      <alignment horizontal="left" vertical="center" wrapText="1"/>
    </xf>
    <xf numFmtId="0" fontId="49" fillId="3" borderId="52" xfId="0" applyFont="1" applyFill="1" applyBorder="1" applyAlignment="1">
      <alignment horizontal="left" vertical="center" wrapText="1"/>
    </xf>
    <xf numFmtId="0" fontId="54" fillId="19" borderId="64" xfId="0" applyFont="1" applyFill="1" applyBorder="1" applyAlignment="1">
      <alignment horizontal="center" vertical="center" textRotation="90"/>
    </xf>
    <xf numFmtId="0" fontId="53" fillId="0" borderId="13" xfId="0" applyFont="1" applyBorder="1" applyAlignment="1" applyProtection="1">
      <alignment horizontal="justify" vertical="center" wrapText="1"/>
      <protection locked="0"/>
    </xf>
    <xf numFmtId="0" fontId="53" fillId="0" borderId="13" xfId="0" applyFont="1" applyBorder="1" applyAlignment="1" applyProtection="1">
      <alignment horizontal="center" vertical="center"/>
      <protection hidden="1"/>
    </xf>
    <xf numFmtId="0" fontId="53" fillId="0" borderId="13" xfId="0" applyFont="1" applyBorder="1" applyAlignment="1" applyProtection="1">
      <alignment horizontal="center" vertical="center" textRotation="90"/>
      <protection locked="0"/>
    </xf>
    <xf numFmtId="164" fontId="53" fillId="0" borderId="13" xfId="1" applyNumberFormat="1" applyFont="1" applyBorder="1" applyAlignment="1">
      <alignment horizontal="center" vertical="center"/>
    </xf>
    <xf numFmtId="0" fontId="54" fillId="0" borderId="60" xfId="0" applyFont="1" applyBorder="1" applyAlignment="1">
      <alignment horizontal="left" vertical="center"/>
    </xf>
    <xf numFmtId="0" fontId="53" fillId="0" borderId="3" xfId="0" applyFont="1" applyBorder="1"/>
    <xf numFmtId="0" fontId="53" fillId="0" borderId="4" xfId="0" applyFont="1" applyBorder="1"/>
    <xf numFmtId="0" fontId="54" fillId="25" borderId="15" xfId="0" applyFont="1" applyFill="1" applyBorder="1" applyAlignment="1">
      <alignment horizontal="center" vertical="center" wrapText="1"/>
    </xf>
    <xf numFmtId="0" fontId="54" fillId="25" borderId="76" xfId="0" applyFont="1" applyFill="1" applyBorder="1" applyAlignment="1">
      <alignment horizontal="center" vertical="center" wrapText="1"/>
    </xf>
    <xf numFmtId="0" fontId="53" fillId="3" borderId="14" xfId="0" applyFont="1" applyFill="1" applyBorder="1" applyAlignment="1">
      <alignment horizontal="center" vertical="center" wrapText="1"/>
    </xf>
    <xf numFmtId="14" fontId="53" fillId="3" borderId="13" xfId="0" applyNumberFormat="1" applyFont="1" applyFill="1" applyBorder="1" applyAlignment="1">
      <alignment horizontal="center" vertical="center" wrapText="1"/>
    </xf>
    <xf numFmtId="0" fontId="53" fillId="3" borderId="13" xfId="0" applyFont="1" applyFill="1" applyBorder="1" applyAlignment="1">
      <alignment horizontal="center" vertical="center" wrapText="1"/>
    </xf>
    <xf numFmtId="0" fontId="62" fillId="3" borderId="0" xfId="0" applyFont="1" applyFill="1"/>
    <xf numFmtId="0" fontId="53" fillId="0" borderId="13" xfId="0" applyFont="1" applyBorder="1" applyAlignment="1">
      <alignment horizontal="center" vertical="center" wrapText="1"/>
    </xf>
    <xf numFmtId="0" fontId="53" fillId="3" borderId="20" xfId="0" applyFont="1" applyFill="1" applyBorder="1" applyAlignment="1">
      <alignment horizontal="center" vertical="center" wrapText="1"/>
    </xf>
    <xf numFmtId="0" fontId="53" fillId="0" borderId="20" xfId="0" applyFont="1" applyBorder="1" applyAlignment="1">
      <alignment horizontal="center" vertical="center" wrapText="1"/>
    </xf>
    <xf numFmtId="14" fontId="53" fillId="3" borderId="14" xfId="0" applyNumberFormat="1" applyFont="1" applyFill="1" applyBorder="1" applyAlignment="1">
      <alignment horizontal="center" vertical="center" wrapText="1"/>
    </xf>
    <xf numFmtId="0" fontId="53" fillId="0" borderId="13" xfId="0" applyFont="1" applyBorder="1" applyAlignment="1" applyProtection="1">
      <alignment horizontal="center" vertical="center" wrapText="1"/>
      <protection locked="0"/>
    </xf>
    <xf numFmtId="0" fontId="53" fillId="0" borderId="14" xfId="0" applyFont="1" applyBorder="1" applyAlignment="1">
      <alignment horizontal="center" vertical="center"/>
    </xf>
    <xf numFmtId="0" fontId="53" fillId="0" borderId="13" xfId="0" applyFont="1" applyBorder="1" applyAlignment="1" applyProtection="1">
      <alignment horizontal="center" vertical="center"/>
      <protection locked="0"/>
    </xf>
    <xf numFmtId="0" fontId="53" fillId="0" borderId="13" xfId="0" applyFont="1" applyBorder="1" applyAlignment="1">
      <alignment horizontal="center" vertical="center"/>
    </xf>
    <xf numFmtId="0" fontId="53" fillId="0" borderId="14" xfId="0" applyFont="1" applyBorder="1" applyAlignment="1" applyProtection="1">
      <alignment horizontal="center" vertical="center" wrapText="1"/>
      <protection locked="0"/>
    </xf>
    <xf numFmtId="0" fontId="53" fillId="0" borderId="14" xfId="0" applyFont="1" applyBorder="1" applyAlignment="1" applyProtection="1">
      <alignment horizontal="justify" vertical="center" wrapText="1"/>
      <protection locked="0"/>
    </xf>
    <xf numFmtId="0" fontId="53" fillId="0" borderId="14" xfId="0" applyFont="1" applyBorder="1" applyAlignment="1" applyProtection="1">
      <alignment horizontal="center" vertical="center"/>
      <protection hidden="1"/>
    </xf>
    <xf numFmtId="0" fontId="53" fillId="0" borderId="14" xfId="0" applyFont="1" applyBorder="1" applyAlignment="1" applyProtection="1">
      <alignment horizontal="center" vertical="center" textRotation="90"/>
      <protection locked="0"/>
    </xf>
    <xf numFmtId="9" fontId="53" fillId="0" borderId="14" xfId="0" applyNumberFormat="1" applyFont="1" applyBorder="1" applyAlignment="1" applyProtection="1">
      <alignment horizontal="center" vertical="center"/>
      <protection hidden="1"/>
    </xf>
    <xf numFmtId="0" fontId="53" fillId="0" borderId="89" xfId="0" applyFont="1" applyBorder="1" applyAlignment="1" applyProtection="1">
      <alignment horizontal="center" vertical="center"/>
      <protection hidden="1"/>
    </xf>
    <xf numFmtId="9" fontId="53" fillId="0" borderId="89" xfId="0" applyNumberFormat="1" applyFont="1" applyBorder="1" applyAlignment="1" applyProtection="1">
      <alignment horizontal="center" vertical="center"/>
      <protection hidden="1"/>
    </xf>
    <xf numFmtId="0" fontId="54" fillId="0" borderId="90" xfId="0" applyFont="1" applyBorder="1" applyAlignment="1" applyProtection="1">
      <alignment horizontal="center" vertical="center" textRotation="90" wrapText="1"/>
      <protection hidden="1"/>
    </xf>
    <xf numFmtId="9" fontId="53" fillId="0" borderId="55" xfId="0" applyNumberFormat="1" applyFont="1" applyBorder="1" applyAlignment="1" applyProtection="1">
      <alignment horizontal="center" vertical="center"/>
      <protection hidden="1"/>
    </xf>
    <xf numFmtId="9" fontId="53" fillId="0" borderId="59" xfId="0" applyNumberFormat="1" applyFont="1" applyBorder="1" applyAlignment="1" applyProtection="1">
      <alignment horizontal="center" vertical="center" wrapText="1"/>
      <protection hidden="1"/>
    </xf>
    <xf numFmtId="0" fontId="53" fillId="0" borderId="87" xfId="0" applyFont="1" applyBorder="1" applyAlignment="1" applyProtection="1">
      <alignment horizontal="center" vertical="center" wrapText="1"/>
      <protection locked="0"/>
    </xf>
    <xf numFmtId="0" fontId="53" fillId="0" borderId="87" xfId="0" applyFont="1" applyBorder="1" applyAlignment="1" applyProtection="1">
      <alignment horizontal="center" vertical="center"/>
      <protection locked="0"/>
    </xf>
    <xf numFmtId="9" fontId="53" fillId="0" borderId="88" xfId="0" applyNumberFormat="1" applyFont="1" applyBorder="1" applyAlignment="1" applyProtection="1">
      <alignment horizontal="center" vertical="center" wrapText="1"/>
      <protection locked="0"/>
    </xf>
    <xf numFmtId="0" fontId="53" fillId="3" borderId="13" xfId="0" applyFont="1" applyFill="1" applyBorder="1" applyAlignment="1" applyProtection="1">
      <alignment horizontal="center" vertical="center" textRotation="90"/>
      <protection locked="0"/>
    </xf>
    <xf numFmtId="0" fontId="53" fillId="0" borderId="13" xfId="0" applyFont="1" applyBorder="1"/>
    <xf numFmtId="0" fontId="53" fillId="0" borderId="81" xfId="0" applyFont="1" applyBorder="1" applyAlignment="1">
      <alignment horizontal="center" vertical="center"/>
    </xf>
    <xf numFmtId="0" fontId="53" fillId="0" borderId="59" xfId="0" applyFont="1" applyBorder="1" applyAlignment="1">
      <alignment horizontal="center" vertical="center"/>
    </xf>
    <xf numFmtId="0" fontId="53" fillId="0" borderId="98" xfId="0" applyFont="1" applyBorder="1" applyAlignment="1" applyProtection="1">
      <alignment horizontal="center" vertical="center" textRotation="90"/>
      <protection locked="0"/>
    </xf>
    <xf numFmtId="0" fontId="53" fillId="0" borderId="99" xfId="0" applyFont="1" applyBorder="1" applyAlignment="1" applyProtection="1">
      <alignment horizontal="center" vertical="center" textRotation="90"/>
      <protection locked="0"/>
    </xf>
    <xf numFmtId="0" fontId="53" fillId="0" borderId="55" xfId="0" applyFont="1" applyBorder="1" applyAlignment="1" applyProtection="1">
      <alignment horizontal="center" vertical="center" textRotation="90"/>
      <protection locked="0"/>
    </xf>
    <xf numFmtId="164" fontId="53" fillId="0" borderId="59" xfId="1" applyNumberFormat="1" applyFont="1" applyBorder="1" applyAlignment="1">
      <alignment horizontal="center" vertical="center"/>
    </xf>
    <xf numFmtId="0" fontId="54" fillId="0" borderId="57" xfId="0" applyFont="1" applyBorder="1" applyAlignment="1" applyProtection="1">
      <alignment horizontal="center" vertical="center" textRotation="90" wrapText="1"/>
      <protection hidden="1"/>
    </xf>
    <xf numFmtId="0" fontId="54" fillId="0" borderId="14" xfId="0" applyFont="1" applyBorder="1" applyAlignment="1" applyProtection="1">
      <alignment horizontal="center" vertical="center" textRotation="90" wrapText="1"/>
      <protection hidden="1"/>
    </xf>
    <xf numFmtId="0" fontId="54" fillId="0" borderId="14" xfId="0" applyFont="1" applyBorder="1" applyAlignment="1" applyProtection="1">
      <alignment horizontal="center" vertical="center" textRotation="90"/>
      <protection hidden="1"/>
    </xf>
    <xf numFmtId="0" fontId="53" fillId="0" borderId="89" xfId="0" applyFont="1" applyBorder="1" applyAlignment="1" applyProtection="1">
      <alignment horizontal="center" vertical="center" textRotation="90"/>
      <protection locked="0"/>
    </xf>
    <xf numFmtId="0" fontId="53" fillId="0" borderId="100" xfId="0" applyFont="1" applyBorder="1" applyAlignment="1" applyProtection="1">
      <alignment horizontal="center" vertical="center" textRotation="90"/>
      <protection locked="0"/>
    </xf>
    <xf numFmtId="0" fontId="53" fillId="0" borderId="101" xfId="0" applyFont="1" applyBorder="1" applyAlignment="1" applyProtection="1">
      <alignment horizontal="center" vertical="center" textRotation="90"/>
      <protection locked="0"/>
    </xf>
    <xf numFmtId="0" fontId="53" fillId="0" borderId="102" xfId="0" applyFont="1" applyBorder="1" applyAlignment="1" applyProtection="1">
      <alignment horizontal="center" vertical="center" textRotation="90"/>
      <protection locked="0"/>
    </xf>
    <xf numFmtId="0" fontId="53" fillId="0" borderId="87" xfId="0" applyFont="1" applyBorder="1" applyAlignment="1" applyProtection="1">
      <alignment horizontal="justify" vertical="center" wrapText="1"/>
      <protection locked="0"/>
    </xf>
    <xf numFmtId="164" fontId="53" fillId="0" borderId="64" xfId="1" applyNumberFormat="1" applyFont="1" applyBorder="1" applyAlignment="1">
      <alignment horizontal="center" vertical="center"/>
    </xf>
    <xf numFmtId="0" fontId="54" fillId="0" borderId="103" xfId="0" applyFont="1" applyBorder="1" applyAlignment="1" applyProtection="1">
      <alignment horizontal="center" vertical="center" textRotation="90" wrapText="1"/>
      <protection hidden="1"/>
    </xf>
    <xf numFmtId="9" fontId="53" fillId="0" borderId="68" xfId="0" applyNumberFormat="1" applyFont="1" applyBorder="1" applyAlignment="1" applyProtection="1">
      <alignment horizontal="center" vertical="center"/>
      <protection hidden="1"/>
    </xf>
    <xf numFmtId="0" fontId="54" fillId="0" borderId="68" xfId="0" applyFont="1" applyBorder="1" applyAlignment="1" applyProtection="1">
      <alignment horizontal="center" vertical="center" textRotation="90" wrapText="1"/>
      <protection hidden="1"/>
    </xf>
    <xf numFmtId="0" fontId="53" fillId="0" borderId="68" xfId="0" applyFont="1" applyBorder="1" applyAlignment="1" applyProtection="1">
      <alignment horizontal="justify" vertical="center" wrapText="1"/>
      <protection locked="0"/>
    </xf>
    <xf numFmtId="0" fontId="53" fillId="0" borderId="90" xfId="0" applyFont="1" applyBorder="1" applyAlignment="1" applyProtection="1">
      <alignment horizontal="center" vertical="center"/>
      <protection hidden="1"/>
    </xf>
    <xf numFmtId="164" fontId="53" fillId="0" borderId="81" xfId="1" applyNumberFormat="1" applyFont="1" applyBorder="1" applyAlignment="1">
      <alignment horizontal="center" vertical="center"/>
    </xf>
    <xf numFmtId="0" fontId="53" fillId="0" borderId="59" xfId="0" applyFont="1" applyBorder="1" applyAlignment="1" applyProtection="1">
      <alignment horizontal="justify" vertical="center" wrapText="1"/>
      <protection locked="0"/>
    </xf>
    <xf numFmtId="14" fontId="53" fillId="0" borderId="14" xfId="0" applyNumberFormat="1" applyFont="1" applyBorder="1" applyAlignment="1" applyProtection="1">
      <alignment horizontal="center" vertical="center"/>
      <protection locked="0"/>
    </xf>
    <xf numFmtId="0" fontId="53" fillId="0" borderId="55" xfId="0" applyFont="1" applyBorder="1" applyAlignment="1" applyProtection="1">
      <alignment horizontal="center" vertical="center" wrapText="1"/>
      <protection locked="0"/>
    </xf>
    <xf numFmtId="0" fontId="53" fillId="0" borderId="14" xfId="0" applyFont="1" applyBorder="1" applyAlignment="1" applyProtection="1">
      <alignment horizontal="center" vertical="center"/>
      <protection locked="0"/>
    </xf>
    <xf numFmtId="0" fontId="53" fillId="0" borderId="14" xfId="0" applyFont="1" applyBorder="1" applyAlignment="1" applyProtection="1">
      <alignment horizontal="justify" vertical="top" wrapText="1"/>
      <protection locked="0"/>
    </xf>
    <xf numFmtId="0" fontId="53" fillId="0" borderId="13" xfId="0" applyFont="1" applyBorder="1" applyAlignment="1">
      <alignment vertical="center" wrapText="1"/>
    </xf>
    <xf numFmtId="0" fontId="53" fillId="0" borderId="13" xfId="0" applyFont="1" applyBorder="1" applyAlignment="1" applyProtection="1">
      <alignment vertical="center" wrapText="1"/>
      <protection locked="0"/>
    </xf>
    <xf numFmtId="164" fontId="53" fillId="0" borderId="59" xfId="1" applyNumberFormat="1" applyFont="1" applyFill="1" applyBorder="1" applyAlignment="1">
      <alignment horizontal="center" vertical="center"/>
    </xf>
    <xf numFmtId="0" fontId="54" fillId="0" borderId="87" xfId="0" applyFont="1" applyBorder="1" applyAlignment="1" applyProtection="1">
      <alignment horizontal="center" vertical="center" wrapText="1"/>
      <protection hidden="1"/>
    </xf>
    <xf numFmtId="9" fontId="53" fillId="0" borderId="87" xfId="0" applyNumberFormat="1" applyFont="1" applyBorder="1" applyAlignment="1" applyProtection="1">
      <alignment horizontal="center" vertical="center" wrapText="1"/>
      <protection hidden="1"/>
    </xf>
    <xf numFmtId="9" fontId="53" fillId="0" borderId="97" xfId="0" applyNumberFormat="1" applyFont="1" applyBorder="1" applyAlignment="1" applyProtection="1">
      <alignment horizontal="center" vertical="center" wrapText="1"/>
      <protection hidden="1"/>
    </xf>
    <xf numFmtId="0" fontId="54" fillId="0" borderId="97"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9" fontId="53" fillId="0" borderId="13" xfId="0" applyNumberFormat="1" applyFont="1" applyBorder="1" applyAlignment="1" applyProtection="1">
      <alignment horizontal="center" vertical="center" wrapText="1"/>
      <protection hidden="1"/>
    </xf>
    <xf numFmtId="9" fontId="53" fillId="0" borderId="13" xfId="0" applyNumberFormat="1" applyFont="1" applyBorder="1" applyAlignment="1" applyProtection="1">
      <alignment horizontal="center" vertical="center" wrapText="1"/>
      <protection locked="0"/>
    </xf>
    <xf numFmtId="0" fontId="53" fillId="0" borderId="88" xfId="0" applyFont="1" applyBorder="1" applyAlignment="1" applyProtection="1">
      <alignment horizontal="center" vertical="center"/>
      <protection locked="0"/>
    </xf>
    <xf numFmtId="0" fontId="54" fillId="0" borderId="56" xfId="0" applyFont="1" applyBorder="1" applyAlignment="1" applyProtection="1">
      <alignment horizontal="center" vertical="center" wrapText="1"/>
      <protection hidden="1"/>
    </xf>
    <xf numFmtId="9" fontId="53" fillId="0" borderId="61" xfId="0" applyNumberFormat="1" applyFont="1" applyBorder="1" applyAlignment="1" applyProtection="1">
      <alignment horizontal="center" vertical="center" wrapText="1"/>
      <protection hidden="1"/>
    </xf>
    <xf numFmtId="0" fontId="53" fillId="0" borderId="97" xfId="0" applyFont="1" applyBorder="1" applyAlignment="1" applyProtection="1">
      <alignment horizontal="center" vertical="center"/>
      <protection locked="0"/>
    </xf>
    <xf numFmtId="0" fontId="53" fillId="0" borderId="97" xfId="0" applyFont="1" applyBorder="1" applyAlignment="1" applyProtection="1">
      <alignment horizontal="center" vertical="center" wrapText="1"/>
      <protection locked="0"/>
    </xf>
    <xf numFmtId="0" fontId="53" fillId="0" borderId="63" xfId="0" applyFont="1" applyBorder="1" applyAlignment="1" applyProtection="1">
      <alignment horizontal="center" vertical="center" wrapText="1"/>
      <protection locked="0"/>
    </xf>
    <xf numFmtId="9" fontId="53" fillId="0" borderId="56" xfId="0" applyNumberFormat="1" applyFont="1" applyBorder="1" applyAlignment="1" applyProtection="1">
      <alignment horizontal="center" vertical="center" wrapText="1"/>
      <protection hidden="1"/>
    </xf>
    <xf numFmtId="0" fontId="53" fillId="0" borderId="68" xfId="0" applyFont="1" applyBorder="1" applyAlignment="1">
      <alignment horizontal="center" vertical="center" wrapText="1"/>
    </xf>
    <xf numFmtId="0" fontId="53" fillId="0" borderId="58" xfId="0" applyFont="1" applyBorder="1" applyAlignment="1" applyProtection="1">
      <alignment horizontal="center" vertical="center" wrapText="1"/>
      <protection locked="0"/>
    </xf>
    <xf numFmtId="0" fontId="53" fillId="0" borderId="88" xfId="0" applyFont="1" applyBorder="1" applyAlignment="1" applyProtection="1">
      <alignment horizontal="center" vertical="center" wrapText="1"/>
      <protection locked="0"/>
    </xf>
    <xf numFmtId="0" fontId="53" fillId="0" borderId="106" xfId="0" applyFont="1" applyBorder="1" applyAlignment="1" applyProtection="1">
      <alignment horizontal="center" vertical="center" wrapText="1"/>
      <protection locked="0"/>
    </xf>
    <xf numFmtId="0" fontId="53" fillId="0" borderId="14" xfId="0" applyFont="1" applyBorder="1" applyAlignment="1" applyProtection="1">
      <alignment horizontal="left" vertical="center" wrapText="1"/>
      <protection locked="0"/>
    </xf>
    <xf numFmtId="0" fontId="54" fillId="0" borderId="55" xfId="0" applyFont="1" applyBorder="1" applyAlignment="1" applyProtection="1">
      <alignment horizontal="center" vertical="center" textRotation="90"/>
      <protection hidden="1"/>
    </xf>
    <xf numFmtId="0" fontId="54" fillId="0" borderId="79" xfId="0" applyFont="1" applyBorder="1" applyAlignment="1" applyProtection="1">
      <alignment horizontal="center" vertical="center" textRotation="90"/>
      <protection hidden="1"/>
    </xf>
    <xf numFmtId="0" fontId="54" fillId="0" borderId="110" xfId="0" applyFont="1" applyBorder="1" applyAlignment="1" applyProtection="1">
      <alignment horizontal="center" vertical="center" wrapText="1"/>
      <protection hidden="1"/>
    </xf>
    <xf numFmtId="0" fontId="53" fillId="0" borderId="14" xfId="0" applyFont="1" applyBorder="1" applyAlignment="1">
      <alignment horizontal="center" vertical="center" wrapText="1"/>
    </xf>
    <xf numFmtId="0" fontId="53" fillId="0" borderId="56" xfId="0" applyFont="1" applyBorder="1" applyAlignment="1" applyProtection="1">
      <alignment horizontal="center" vertical="center" wrapText="1"/>
      <protection locked="0"/>
    </xf>
    <xf numFmtId="0" fontId="53" fillId="0" borderId="78" xfId="0" applyFont="1" applyBorder="1" applyAlignment="1" applyProtection="1">
      <alignment horizontal="center" vertical="center" wrapText="1"/>
      <protection locked="0"/>
    </xf>
    <xf numFmtId="0" fontId="53" fillId="0" borderId="79" xfId="0" applyFont="1" applyBorder="1" applyAlignment="1" applyProtection="1">
      <alignment horizontal="center" vertical="center" wrapText="1"/>
      <protection locked="0"/>
    </xf>
    <xf numFmtId="0" fontId="53" fillId="0" borderId="61" xfId="0" applyFont="1" applyBorder="1" applyAlignment="1" applyProtection="1">
      <alignment horizontal="center" vertical="center" wrapText="1"/>
      <protection locked="0"/>
    </xf>
    <xf numFmtId="0" fontId="54" fillId="0" borderId="68" xfId="0" applyFont="1" applyBorder="1" applyAlignment="1" applyProtection="1">
      <alignment horizontal="center" vertical="center" wrapText="1"/>
      <protection hidden="1"/>
    </xf>
    <xf numFmtId="0" fontId="54" fillId="0" borderId="59" xfId="0" applyFont="1" applyBorder="1" applyAlignment="1" applyProtection="1">
      <alignment horizontal="center" vertical="center" wrapText="1"/>
      <protection hidden="1"/>
    </xf>
    <xf numFmtId="0" fontId="53" fillId="0" borderId="59" xfId="0" applyFont="1" applyBorder="1" applyAlignment="1" applyProtection="1">
      <alignment horizontal="center" vertical="center"/>
      <protection locked="0"/>
    </xf>
    <xf numFmtId="9" fontId="53" fillId="0" borderId="68" xfId="0" applyNumberFormat="1" applyFont="1" applyBorder="1" applyAlignment="1" applyProtection="1">
      <alignment horizontal="center" vertical="center" wrapText="1"/>
      <protection hidden="1"/>
    </xf>
    <xf numFmtId="9" fontId="53" fillId="0" borderId="59" xfId="0" applyNumberFormat="1" applyFont="1" applyBorder="1" applyAlignment="1" applyProtection="1">
      <alignment horizontal="center" vertical="center" wrapText="1"/>
      <protection locked="0"/>
    </xf>
    <xf numFmtId="0" fontId="53" fillId="0" borderId="68" xfId="0" applyFont="1" applyBorder="1" applyAlignment="1">
      <alignment horizontal="center" vertical="center"/>
    </xf>
    <xf numFmtId="0" fontId="53" fillId="0" borderId="63" xfId="0" applyFont="1" applyBorder="1" applyAlignment="1" applyProtection="1">
      <alignment horizontal="center" vertical="center"/>
      <protection locked="0"/>
    </xf>
    <xf numFmtId="0" fontId="53" fillId="0" borderId="59" xfId="0" applyFont="1" applyBorder="1" applyAlignment="1" applyProtection="1">
      <alignment horizontal="center" vertical="center" wrapText="1"/>
      <protection locked="0"/>
    </xf>
    <xf numFmtId="9" fontId="53" fillId="0" borderId="94" xfId="0" applyNumberFormat="1" applyFont="1" applyBorder="1" applyAlignment="1" applyProtection="1">
      <alignment horizontal="center" vertical="center" wrapText="1"/>
      <protection locked="0"/>
    </xf>
    <xf numFmtId="0" fontId="53" fillId="0" borderId="64" xfId="0" applyFont="1" applyBorder="1" applyAlignment="1" applyProtection="1">
      <alignment horizontal="center" vertical="center" wrapText="1"/>
      <protection locked="0"/>
    </xf>
    <xf numFmtId="0" fontId="54" fillId="0" borderId="81" xfId="0" applyFont="1" applyBorder="1" applyAlignment="1" applyProtection="1">
      <alignment horizontal="center" vertical="center" wrapText="1"/>
      <protection hidden="1"/>
    </xf>
    <xf numFmtId="0" fontId="53" fillId="0" borderId="63" xfId="0" quotePrefix="1" applyFont="1" applyBorder="1" applyAlignment="1" applyProtection="1">
      <alignment horizontal="center" vertical="center" wrapText="1"/>
      <protection locked="0"/>
    </xf>
    <xf numFmtId="0" fontId="53" fillId="0" borderId="61" xfId="0" applyFont="1" applyBorder="1" applyAlignment="1" applyProtection="1">
      <alignment horizontal="center" vertical="center"/>
      <protection locked="0"/>
    </xf>
    <xf numFmtId="0" fontId="53" fillId="0" borderId="56" xfId="0" applyFont="1" applyBorder="1" applyAlignment="1" applyProtection="1">
      <alignment horizontal="center" vertical="center"/>
      <protection locked="0"/>
    </xf>
    <xf numFmtId="0" fontId="53" fillId="0" borderId="103" xfId="0" applyFont="1" applyBorder="1" applyAlignment="1" applyProtection="1">
      <alignment horizontal="center" vertical="center"/>
      <protection locked="0"/>
    </xf>
    <xf numFmtId="9" fontId="53" fillId="0" borderId="103" xfId="0" applyNumberFormat="1" applyFont="1" applyBorder="1" applyAlignment="1" applyProtection="1">
      <alignment horizontal="center" vertical="center" wrapText="1"/>
      <protection hidden="1"/>
    </xf>
    <xf numFmtId="0" fontId="53" fillId="0" borderId="65" xfId="0" applyFont="1" applyBorder="1" applyAlignment="1" applyProtection="1">
      <alignment horizontal="center" vertical="center" wrapText="1"/>
      <protection locked="0"/>
    </xf>
    <xf numFmtId="0" fontId="53" fillId="0" borderId="79" xfId="0" applyFont="1" applyBorder="1" applyAlignment="1">
      <alignment horizontal="center" vertical="center"/>
    </xf>
    <xf numFmtId="0" fontId="53" fillId="0" borderId="0" xfId="0" applyFont="1" applyAlignment="1">
      <alignment horizontal="center" vertical="center" wrapText="1"/>
    </xf>
    <xf numFmtId="0" fontId="53" fillId="0" borderId="68" xfId="0" applyFont="1" applyBorder="1" applyAlignment="1" applyProtection="1">
      <alignment horizontal="center" vertical="center" textRotation="90"/>
      <protection locked="0"/>
    </xf>
    <xf numFmtId="9" fontId="53" fillId="0" borderId="105" xfId="0" applyNumberFormat="1" applyFont="1" applyBorder="1" applyAlignment="1" applyProtection="1">
      <alignment horizontal="center" vertical="center" wrapText="1"/>
      <protection hidden="1"/>
    </xf>
    <xf numFmtId="0" fontId="53" fillId="0" borderId="13" xfId="0" applyFont="1" applyBorder="1" applyAlignment="1">
      <alignment vertical="center"/>
    </xf>
    <xf numFmtId="9" fontId="53" fillId="0" borderId="82" xfId="0" applyNumberFormat="1" applyFont="1" applyBorder="1" applyAlignment="1" applyProtection="1">
      <alignment horizontal="center" vertical="center" wrapText="1"/>
      <protection hidden="1"/>
    </xf>
    <xf numFmtId="14" fontId="53" fillId="0" borderId="14" xfId="0" applyNumberFormat="1" applyFont="1" applyBorder="1" applyAlignment="1" applyProtection="1">
      <alignment vertical="center" wrapText="1"/>
      <protection locked="0"/>
    </xf>
    <xf numFmtId="14" fontId="53" fillId="0" borderId="13" xfId="0" applyNumberFormat="1" applyFont="1" applyBorder="1" applyAlignment="1" applyProtection="1">
      <alignment vertical="center" wrapText="1"/>
      <protection locked="0"/>
    </xf>
    <xf numFmtId="0" fontId="53" fillId="0" borderId="13" xfId="0" applyFont="1" applyBorder="1" applyAlignment="1" applyProtection="1">
      <alignment vertical="center"/>
      <protection locked="0"/>
    </xf>
    <xf numFmtId="17" fontId="53" fillId="0" borderId="13" xfId="0" applyNumberFormat="1" applyFont="1" applyBorder="1" applyAlignment="1">
      <alignment horizontal="center" vertical="center" wrapText="1"/>
    </xf>
    <xf numFmtId="14" fontId="53" fillId="0" borderId="14" xfId="0" applyNumberFormat="1" applyFont="1" applyBorder="1" applyAlignment="1" applyProtection="1">
      <alignment vertical="center"/>
      <protection locked="0"/>
    </xf>
    <xf numFmtId="14" fontId="53" fillId="0" borderId="13" xfId="0" applyNumberFormat="1" applyFont="1" applyBorder="1" applyAlignment="1" applyProtection="1">
      <alignment vertical="center"/>
      <protection locked="0"/>
    </xf>
    <xf numFmtId="0" fontId="54" fillId="0" borderId="68" xfId="0" applyFont="1" applyBorder="1" applyAlignment="1" applyProtection="1">
      <alignment horizontal="center" vertical="center" textRotation="90"/>
      <protection hidden="1"/>
    </xf>
    <xf numFmtId="0" fontId="54" fillId="0" borderId="13" xfId="0" applyFont="1" applyBorder="1" applyAlignment="1" applyProtection="1">
      <alignment horizontal="center" vertical="center"/>
      <protection hidden="1"/>
    </xf>
    <xf numFmtId="9" fontId="53" fillId="0" borderId="81" xfId="0" applyNumberFormat="1" applyFont="1" applyBorder="1" applyAlignment="1" applyProtection="1">
      <alignment horizontal="center" vertical="center" wrapText="1"/>
      <protection hidden="1"/>
    </xf>
    <xf numFmtId="0" fontId="54" fillId="0" borderId="87" xfId="0"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9" fontId="53" fillId="0" borderId="81" xfId="0" applyNumberFormat="1" applyFont="1" applyBorder="1" applyAlignment="1" applyProtection="1">
      <alignment horizontal="center" vertical="center" wrapText="1"/>
      <protection locked="0"/>
    </xf>
    <xf numFmtId="9" fontId="53" fillId="0" borderId="58" xfId="0" applyNumberFormat="1" applyFont="1" applyBorder="1" applyAlignment="1" applyProtection="1">
      <alignment horizontal="center" vertical="center" wrapText="1"/>
      <protection locked="0"/>
    </xf>
    <xf numFmtId="0" fontId="53" fillId="0" borderId="97" xfId="0" applyFont="1" applyBorder="1" applyAlignment="1" applyProtection="1">
      <alignment horizontal="center" vertical="center" textRotation="90"/>
      <protection locked="0"/>
    </xf>
    <xf numFmtId="0" fontId="54" fillId="0" borderId="97" xfId="0" applyFont="1" applyBorder="1" applyAlignment="1" applyProtection="1">
      <alignment horizontal="center" vertical="center"/>
      <protection hidden="1"/>
    </xf>
    <xf numFmtId="0" fontId="54" fillId="0" borderId="64" xfId="0" applyFont="1" applyBorder="1" applyAlignment="1" applyProtection="1">
      <alignment horizontal="center" vertical="center"/>
      <protection hidden="1"/>
    </xf>
    <xf numFmtId="0" fontId="53" fillId="0" borderId="68" xfId="0" applyFont="1" applyBorder="1" applyAlignment="1" applyProtection="1">
      <alignment horizontal="center" vertical="center" wrapText="1"/>
      <protection locked="0"/>
    </xf>
    <xf numFmtId="0" fontId="53" fillId="0" borderId="68" xfId="0" applyFont="1" applyBorder="1" applyAlignment="1" applyProtection="1">
      <alignment horizontal="center" vertical="center"/>
      <protection locked="0"/>
    </xf>
    <xf numFmtId="0" fontId="53" fillId="0" borderId="105" xfId="0" applyFont="1" applyBorder="1" applyAlignment="1" applyProtection="1">
      <alignment horizontal="center" vertical="center"/>
      <protection locked="0"/>
    </xf>
    <xf numFmtId="9" fontId="53" fillId="0" borderId="64" xfId="0" applyNumberFormat="1" applyFont="1" applyBorder="1" applyAlignment="1" applyProtection="1">
      <alignment horizontal="center" vertical="center" wrapText="1"/>
      <protection hidden="1"/>
    </xf>
    <xf numFmtId="9" fontId="53" fillId="0" borderId="67" xfId="0" applyNumberFormat="1" applyFont="1" applyBorder="1" applyAlignment="1" applyProtection="1">
      <alignment horizontal="center" vertical="center" wrapText="1"/>
      <protection hidden="1"/>
    </xf>
    <xf numFmtId="0" fontId="54" fillId="0" borderId="67" xfId="0" applyFont="1" applyBorder="1" applyAlignment="1" applyProtection="1">
      <alignment horizontal="center" vertical="center"/>
      <protection hidden="1"/>
    </xf>
    <xf numFmtId="9" fontId="53" fillId="0" borderId="64" xfId="0" applyNumberFormat="1" applyFont="1" applyBorder="1" applyAlignment="1" applyProtection="1">
      <alignment horizontal="center" vertical="center" wrapText="1"/>
      <protection locked="0"/>
    </xf>
    <xf numFmtId="9" fontId="53" fillId="0" borderId="67" xfId="0" applyNumberFormat="1" applyFont="1" applyBorder="1" applyAlignment="1" applyProtection="1">
      <alignment horizontal="center" vertical="center" wrapText="1"/>
      <protection locked="0"/>
    </xf>
    <xf numFmtId="0" fontId="53" fillId="0" borderId="108" xfId="0" applyFont="1" applyBorder="1" applyAlignment="1" applyProtection="1">
      <alignment horizontal="center" vertical="center" wrapText="1"/>
      <protection locked="0"/>
    </xf>
    <xf numFmtId="0" fontId="53" fillId="0" borderId="87" xfId="0" applyFont="1" applyBorder="1" applyAlignment="1" applyProtection="1">
      <alignment horizontal="center" vertical="center" textRotation="90"/>
      <protection locked="0"/>
    </xf>
    <xf numFmtId="0" fontId="54" fillId="0" borderId="68" xfId="0" applyFont="1" applyBorder="1" applyAlignment="1" applyProtection="1">
      <alignment horizontal="center" vertical="center"/>
      <protection hidden="1"/>
    </xf>
    <xf numFmtId="0" fontId="53" fillId="0" borderId="58" xfId="0" applyFont="1" applyBorder="1" applyAlignment="1" applyProtection="1">
      <alignment horizontal="center" vertical="center"/>
      <protection locked="0"/>
    </xf>
    <xf numFmtId="0" fontId="53" fillId="0" borderId="97" xfId="0" applyFont="1" applyBorder="1" applyAlignment="1" applyProtection="1">
      <alignment horizontal="center" vertical="center"/>
      <protection hidden="1"/>
    </xf>
    <xf numFmtId="9" fontId="53" fillId="0" borderId="97" xfId="0" applyNumberFormat="1" applyFont="1" applyBorder="1" applyAlignment="1" applyProtection="1">
      <alignment horizontal="center" vertical="center"/>
      <protection hidden="1"/>
    </xf>
    <xf numFmtId="0" fontId="53" fillId="0" borderId="92" xfId="0" applyFont="1" applyBorder="1" applyAlignment="1" applyProtection="1">
      <alignment horizontal="center" vertical="center" textRotation="90"/>
      <protection locked="0"/>
    </xf>
    <xf numFmtId="0" fontId="53" fillId="0" borderId="91" xfId="0" applyFont="1" applyBorder="1" applyAlignment="1" applyProtection="1">
      <alignment horizontal="center" vertical="center" textRotation="90"/>
      <protection locked="0"/>
    </xf>
    <xf numFmtId="0" fontId="53" fillId="0" borderId="88" xfId="0" applyFont="1" applyBorder="1" applyAlignment="1" applyProtection="1">
      <alignment horizontal="center" vertical="center" textRotation="90"/>
      <protection locked="0"/>
    </xf>
    <xf numFmtId="9" fontId="53" fillId="0" borderId="58" xfId="0" applyNumberFormat="1" applyFont="1" applyBorder="1" applyAlignment="1" applyProtection="1">
      <alignment horizontal="center" vertical="center"/>
      <protection hidden="1"/>
    </xf>
    <xf numFmtId="0" fontId="54" fillId="0" borderId="14" xfId="0" applyFont="1" applyBorder="1" applyAlignment="1" applyProtection="1">
      <alignment horizontal="center" vertical="center" wrapText="1"/>
      <protection hidden="1"/>
    </xf>
    <xf numFmtId="164" fontId="53" fillId="0" borderId="81" xfId="1" applyNumberFormat="1" applyFont="1" applyFill="1" applyBorder="1" applyAlignment="1">
      <alignment horizontal="center" vertical="center"/>
    </xf>
    <xf numFmtId="0" fontId="53" fillId="0" borderId="14" xfId="0" applyFont="1" applyBorder="1"/>
    <xf numFmtId="0" fontId="53" fillId="0" borderId="14" xfId="0" applyFont="1" applyBorder="1" applyAlignment="1">
      <alignment wrapText="1"/>
    </xf>
    <xf numFmtId="0" fontId="54" fillId="0" borderId="111" xfId="0" applyFont="1" applyBorder="1" applyAlignment="1" applyProtection="1">
      <alignment horizontal="center" vertical="center" wrapText="1"/>
      <protection hidden="1"/>
    </xf>
    <xf numFmtId="0" fontId="2" fillId="0" borderId="2"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3" borderId="0" xfId="0" applyFont="1" applyFill="1" applyAlignment="1">
      <alignment horizontal="justify" vertical="center" wrapText="1" readingOrder="1"/>
    </xf>
    <xf numFmtId="0" fontId="2" fillId="0" borderId="2" xfId="0" applyFont="1" applyBorder="1" applyAlignment="1">
      <alignment horizontal="justify" vertical="center" wrapText="1" readingOrder="1"/>
    </xf>
    <xf numFmtId="0" fontId="2" fillId="0" borderId="1" xfId="0" applyFont="1" applyBorder="1" applyAlignment="1">
      <alignment horizontal="justify" vertical="center" wrapText="1" readingOrder="1"/>
    </xf>
    <xf numFmtId="0" fontId="54" fillId="0" borderId="66" xfId="0" applyFont="1" applyBorder="1" applyAlignment="1" applyProtection="1">
      <alignment horizontal="center" vertical="center" wrapText="1"/>
      <protection hidden="1"/>
    </xf>
    <xf numFmtId="0" fontId="53" fillId="0" borderId="63" xfId="0" applyFont="1" applyBorder="1" applyAlignment="1">
      <alignment horizontal="center" vertical="center"/>
    </xf>
    <xf numFmtId="9" fontId="53" fillId="0" borderId="92" xfId="0" applyNumberFormat="1" applyFont="1" applyBorder="1" applyAlignment="1" applyProtection="1">
      <alignment vertical="center" wrapText="1"/>
      <protection locked="0"/>
    </xf>
    <xf numFmtId="0" fontId="53" fillId="0" borderId="68" xfId="0" applyFont="1" applyBorder="1" applyAlignment="1" applyProtection="1">
      <alignment vertical="center" textRotation="90"/>
      <protection locked="0"/>
    </xf>
    <xf numFmtId="9" fontId="53" fillId="0" borderId="68" xfId="0" applyNumberFormat="1" applyFont="1" applyBorder="1" applyAlignment="1" applyProtection="1">
      <alignment vertical="center" wrapText="1"/>
      <protection locked="0"/>
    </xf>
    <xf numFmtId="9" fontId="53" fillId="0" borderId="68" xfId="0" applyNumberFormat="1" applyFont="1" applyBorder="1" applyAlignment="1" applyProtection="1">
      <alignment horizontal="center" vertical="center" wrapText="1"/>
      <protection locked="0"/>
    </xf>
    <xf numFmtId="0" fontId="53" fillId="0" borderId="13" xfId="0" applyFont="1" applyBorder="1" applyAlignment="1" applyProtection="1">
      <alignment vertical="center" textRotation="90"/>
      <protection locked="0"/>
    </xf>
    <xf numFmtId="0" fontId="53" fillId="0" borderId="57" xfId="0" applyFont="1" applyBorder="1" applyAlignment="1" applyProtection="1">
      <alignment horizontal="center" vertical="center"/>
      <protection hidden="1"/>
    </xf>
    <xf numFmtId="0" fontId="53" fillId="0" borderId="66" xfId="0" applyFont="1" applyBorder="1" applyAlignment="1" applyProtection="1">
      <alignment horizontal="center" vertical="center" wrapText="1"/>
      <protection locked="0"/>
    </xf>
    <xf numFmtId="0" fontId="53" fillId="0" borderId="68" xfId="0" applyFont="1" applyBorder="1" applyAlignment="1" applyProtection="1">
      <alignment horizontal="center" vertical="center"/>
      <protection hidden="1"/>
    </xf>
    <xf numFmtId="9" fontId="53" fillId="0" borderId="65" xfId="0" applyNumberFormat="1" applyFont="1" applyBorder="1" applyAlignment="1" applyProtection="1">
      <alignment horizontal="center" vertical="center" wrapText="1"/>
      <protection hidden="1"/>
    </xf>
    <xf numFmtId="0" fontId="53" fillId="0" borderId="93" xfId="0" applyFont="1" applyBorder="1" applyAlignment="1" applyProtection="1">
      <alignment vertical="center" wrapText="1"/>
      <protection locked="0"/>
    </xf>
    <xf numFmtId="9" fontId="53" fillId="0" borderId="13" xfId="0" applyNumberFormat="1" applyFont="1" applyBorder="1" applyAlignment="1" applyProtection="1">
      <alignment vertical="center" wrapText="1"/>
      <protection locked="0"/>
    </xf>
    <xf numFmtId="0" fontId="53" fillId="0" borderId="64" xfId="0" applyFont="1" applyBorder="1" applyAlignment="1">
      <alignment horizontal="center" vertical="center"/>
    </xf>
    <xf numFmtId="0" fontId="54" fillId="0" borderId="104" xfId="0" applyFont="1" applyBorder="1" applyAlignment="1" applyProtection="1">
      <alignment horizontal="center" vertical="center" wrapText="1"/>
      <protection hidden="1"/>
    </xf>
    <xf numFmtId="9" fontId="53" fillId="0" borderId="104" xfId="0" applyNumberFormat="1" applyFont="1" applyBorder="1" applyAlignment="1" applyProtection="1">
      <alignment horizontal="center" vertical="center" wrapText="1"/>
      <protection hidden="1"/>
    </xf>
    <xf numFmtId="0" fontId="53" fillId="0" borderId="87" xfId="0" applyFont="1" applyBorder="1" applyAlignment="1">
      <alignment horizontal="center" vertical="center"/>
    </xf>
    <xf numFmtId="0" fontId="53" fillId="0" borderId="87" xfId="0" applyFont="1" applyBorder="1" applyAlignment="1" applyProtection="1">
      <alignment horizontal="center" vertical="center"/>
      <protection hidden="1"/>
    </xf>
    <xf numFmtId="9" fontId="53" fillId="0" borderId="87" xfId="0" applyNumberFormat="1" applyFont="1" applyBorder="1" applyAlignment="1" applyProtection="1">
      <alignment horizontal="center" vertical="center"/>
      <protection hidden="1"/>
    </xf>
    <xf numFmtId="14" fontId="53" fillId="0" borderId="68" xfId="0" applyNumberFormat="1" applyFont="1" applyBorder="1" applyAlignment="1" applyProtection="1">
      <alignment horizontal="center" vertical="center"/>
      <protection locked="0"/>
    </xf>
    <xf numFmtId="0" fontId="53" fillId="0" borderId="0" xfId="0" applyFont="1" applyAlignment="1" applyProtection="1">
      <alignment horizontal="center" vertical="center" wrapText="1"/>
      <protection locked="0"/>
    </xf>
    <xf numFmtId="0" fontId="53" fillId="0" borderId="82" xfId="0" applyFont="1" applyBorder="1" applyAlignment="1" applyProtection="1">
      <alignment horizontal="center" vertical="center" wrapText="1"/>
      <protection locked="0"/>
    </xf>
    <xf numFmtId="9" fontId="53" fillId="0" borderId="95" xfId="0" applyNumberFormat="1" applyFont="1" applyBorder="1" applyAlignment="1" applyProtection="1">
      <alignment horizontal="center" vertical="center" wrapText="1"/>
      <protection locked="0"/>
    </xf>
    <xf numFmtId="14" fontId="53" fillId="0" borderId="68" xfId="0" applyNumberFormat="1" applyFont="1" applyBorder="1" applyAlignment="1" applyProtection="1">
      <alignment vertical="center" wrapText="1"/>
      <protection locked="0"/>
    </xf>
    <xf numFmtId="9" fontId="53" fillId="0" borderId="68" xfId="0" applyNumberFormat="1" applyFont="1" applyBorder="1" applyAlignment="1" applyProtection="1">
      <alignment vertical="center" wrapText="1"/>
      <protection hidden="1"/>
    </xf>
    <xf numFmtId="9" fontId="53" fillId="0" borderId="14" xfId="0" applyNumberFormat="1" applyFont="1" applyBorder="1" applyAlignment="1" applyProtection="1">
      <alignment horizontal="center" vertical="center" wrapText="1"/>
      <protection hidden="1"/>
    </xf>
    <xf numFmtId="0" fontId="54" fillId="0" borderId="107" xfId="0" applyFont="1" applyBorder="1" applyAlignment="1" applyProtection="1">
      <alignment horizontal="center" vertical="center" wrapText="1"/>
      <protection hidden="1"/>
    </xf>
    <xf numFmtId="0" fontId="53" fillId="0" borderId="64" xfId="0" applyFont="1" applyBorder="1" applyAlignment="1" applyProtection="1">
      <alignment horizontal="center" vertical="center"/>
      <protection locked="0"/>
    </xf>
    <xf numFmtId="9" fontId="53" fillId="0" borderId="96" xfId="0" applyNumberFormat="1" applyFont="1" applyBorder="1" applyAlignment="1" applyProtection="1">
      <alignment horizontal="center" vertical="center" wrapText="1"/>
      <protection hidden="1"/>
    </xf>
    <xf numFmtId="9" fontId="53" fillId="0" borderId="13" xfId="0" applyNumberFormat="1" applyFont="1" applyBorder="1" applyAlignment="1" applyProtection="1">
      <alignment vertical="center" wrapText="1"/>
      <protection hidden="1"/>
    </xf>
    <xf numFmtId="0" fontId="54" fillId="0" borderId="68" xfId="0" applyFont="1" applyBorder="1" applyAlignment="1" applyProtection="1">
      <alignment vertical="center" textRotation="90" wrapText="1"/>
      <protection hidden="1"/>
    </xf>
    <xf numFmtId="0" fontId="53" fillId="0" borderId="80" xfId="0" applyFont="1" applyBorder="1" applyAlignment="1" applyProtection="1">
      <alignment horizontal="center" vertical="center" wrapText="1"/>
      <protection locked="0"/>
    </xf>
    <xf numFmtId="0" fontId="53" fillId="0" borderId="32" xfId="0" applyFont="1" applyBorder="1" applyAlignment="1" applyProtection="1">
      <alignment horizontal="center" vertical="center" wrapText="1"/>
      <protection locked="0"/>
    </xf>
    <xf numFmtId="0" fontId="54" fillId="0" borderId="87" xfId="0" applyFont="1" applyBorder="1" applyAlignment="1" applyProtection="1">
      <alignment horizontal="center" vertical="center" textRotation="90"/>
      <protection hidden="1"/>
    </xf>
    <xf numFmtId="0" fontId="53" fillId="0" borderId="65" xfId="0" applyFont="1" applyBorder="1" applyAlignment="1">
      <alignment horizontal="center" vertical="center" wrapText="1"/>
    </xf>
    <xf numFmtId="0" fontId="54" fillId="0" borderId="81" xfId="0" applyFont="1" applyBorder="1" applyAlignment="1" applyProtection="1">
      <alignment horizontal="center" vertical="center"/>
      <protection hidden="1"/>
    </xf>
    <xf numFmtId="0" fontId="53" fillId="0" borderId="78" xfId="0" applyFont="1" applyBorder="1" applyAlignment="1">
      <alignment horizontal="center" vertical="center" wrapText="1"/>
    </xf>
    <xf numFmtId="0" fontId="53" fillId="0" borderId="93" xfId="0" applyFont="1" applyBorder="1" applyAlignment="1" applyProtection="1">
      <alignment horizontal="center" vertical="center" textRotation="90"/>
      <protection locked="0"/>
    </xf>
    <xf numFmtId="0" fontId="53" fillId="0" borderId="107" xfId="0" applyFont="1" applyBorder="1" applyAlignment="1" applyProtection="1">
      <alignment horizontal="center" vertical="center" textRotation="90"/>
      <protection locked="0"/>
    </xf>
    <xf numFmtId="0" fontId="53" fillId="0" borderId="58" xfId="0" applyFont="1" applyBorder="1" applyAlignment="1" applyProtection="1">
      <alignment horizontal="center" vertical="center" textRotation="90"/>
      <protection locked="0"/>
    </xf>
    <xf numFmtId="0" fontId="54" fillId="0" borderId="56" xfId="0" applyFont="1" applyBorder="1" applyAlignment="1" applyProtection="1">
      <alignment horizontal="center" vertical="center" textRotation="90" wrapText="1"/>
      <protection hidden="1"/>
    </xf>
    <xf numFmtId="0" fontId="54" fillId="0" borderId="87" xfId="0" applyFont="1" applyBorder="1" applyAlignment="1" applyProtection="1">
      <alignment horizontal="center" vertical="center" textRotation="90" wrapText="1"/>
      <protection hidden="1"/>
    </xf>
    <xf numFmtId="9" fontId="53" fillId="0" borderId="63" xfId="0" applyNumberFormat="1" applyFont="1" applyBorder="1" applyAlignment="1" applyProtection="1">
      <alignment horizontal="center" vertical="center" wrapText="1"/>
      <protection hidden="1"/>
    </xf>
    <xf numFmtId="9" fontId="53" fillId="0" borderId="79" xfId="0" applyNumberFormat="1" applyFont="1" applyBorder="1" applyAlignment="1" applyProtection="1">
      <alignment horizontal="center" vertical="center" wrapText="1"/>
      <protection hidden="1"/>
    </xf>
    <xf numFmtId="0" fontId="53" fillId="0" borderId="81" xfId="0" applyFont="1" applyBorder="1" applyAlignment="1" applyProtection="1">
      <alignment horizontal="center" vertical="center" wrapText="1"/>
      <protection locked="0"/>
    </xf>
    <xf numFmtId="0" fontId="53" fillId="0" borderId="67" xfId="0" applyFont="1" applyBorder="1" applyAlignment="1" applyProtection="1">
      <alignment horizontal="center" vertical="center" wrapText="1"/>
      <protection locked="0"/>
    </xf>
    <xf numFmtId="0" fontId="53" fillId="0" borderId="13" xfId="0" applyFont="1" applyBorder="1" applyAlignment="1">
      <alignment wrapText="1"/>
    </xf>
    <xf numFmtId="0" fontId="53" fillId="0" borderId="68" xfId="0" applyFont="1" applyBorder="1" applyAlignment="1" applyProtection="1">
      <alignment vertical="center" wrapText="1"/>
      <protection locked="0"/>
    </xf>
    <xf numFmtId="0" fontId="53" fillId="0" borderId="14" xfId="0" applyFont="1" applyBorder="1" applyAlignment="1" applyProtection="1">
      <alignment vertical="center" wrapText="1"/>
      <protection locked="0"/>
    </xf>
    <xf numFmtId="0" fontId="53" fillId="0" borderId="83" xfId="0" applyFont="1" applyBorder="1" applyAlignment="1" applyProtection="1">
      <alignment horizontal="center" vertical="center" wrapText="1"/>
      <protection locked="0"/>
    </xf>
    <xf numFmtId="0" fontId="64" fillId="0" borderId="49" xfId="4" applyFont="1" applyBorder="1" applyAlignment="1">
      <alignment horizontal="center" vertical="center" wrapText="1"/>
    </xf>
    <xf numFmtId="0" fontId="64" fillId="0" borderId="55" xfId="4" applyFont="1" applyBorder="1" applyAlignment="1">
      <alignment vertical="center" wrapText="1"/>
    </xf>
    <xf numFmtId="0" fontId="64" fillId="0" borderId="49" xfId="4" applyFont="1" applyBorder="1" applyAlignment="1">
      <alignment vertical="center" wrapText="1"/>
    </xf>
    <xf numFmtId="0" fontId="64" fillId="0" borderId="0" xfId="4" applyFont="1" applyAlignment="1">
      <alignment vertical="center" wrapText="1"/>
    </xf>
    <xf numFmtId="14" fontId="59" fillId="0" borderId="0" xfId="4" applyNumberFormat="1" applyFont="1" applyAlignment="1">
      <alignment vertical="center" wrapText="1"/>
    </xf>
    <xf numFmtId="0" fontId="64" fillId="0" borderId="56" xfId="4" applyFont="1" applyBorder="1" applyAlignment="1">
      <alignment vertical="center" wrapText="1"/>
    </xf>
    <xf numFmtId="0" fontId="53" fillId="3" borderId="13" xfId="0" applyFont="1" applyFill="1" applyBorder="1" applyAlignment="1" applyProtection="1">
      <alignment horizontal="center" vertical="center" wrapText="1"/>
      <protection locked="0"/>
    </xf>
    <xf numFmtId="0" fontId="53" fillId="0" borderId="103" xfId="0" applyFont="1" applyBorder="1" applyAlignment="1" applyProtection="1">
      <alignment horizontal="center" vertical="center" wrapText="1"/>
      <protection locked="0"/>
    </xf>
    <xf numFmtId="0" fontId="53" fillId="0" borderId="62" xfId="0" applyFont="1" applyBorder="1" applyAlignment="1" applyProtection="1">
      <alignment horizontal="center" vertical="center" wrapText="1"/>
      <protection locked="0"/>
    </xf>
    <xf numFmtId="0" fontId="53" fillId="0" borderId="105" xfId="0" applyFont="1" applyBorder="1" applyAlignment="1" applyProtection="1">
      <alignment horizontal="center" vertical="center" wrapText="1"/>
      <protection locked="0"/>
    </xf>
    <xf numFmtId="0" fontId="53" fillId="0" borderId="78" xfId="0" quotePrefix="1" applyFont="1" applyBorder="1" applyAlignment="1" applyProtection="1">
      <alignment horizontal="center" vertical="center" wrapText="1"/>
      <protection locked="0"/>
    </xf>
    <xf numFmtId="0" fontId="45" fillId="14" borderId="28" xfId="2" applyFont="1" applyFill="1" applyBorder="1" applyAlignment="1">
      <alignment horizontal="center" vertical="center" wrapText="1"/>
    </xf>
    <xf numFmtId="0" fontId="45" fillId="14" borderId="29" xfId="2" applyFont="1" applyFill="1" applyBorder="1" applyAlignment="1">
      <alignment horizontal="center" vertical="center" wrapText="1"/>
    </xf>
    <xf numFmtId="0" fontId="45" fillId="14" borderId="30" xfId="2" applyFont="1" applyFill="1" applyBorder="1" applyAlignment="1">
      <alignment horizontal="center" vertical="center" wrapText="1"/>
    </xf>
    <xf numFmtId="0" fontId="44" fillId="0" borderId="3" xfId="2" quotePrefix="1" applyFont="1" applyBorder="1" applyAlignment="1">
      <alignment horizontal="left" vertical="center" wrapText="1"/>
    </xf>
    <xf numFmtId="0" fontId="44" fillId="0" borderId="0" xfId="2" quotePrefix="1" applyFont="1" applyAlignment="1">
      <alignment horizontal="left" vertical="center" wrapText="1"/>
    </xf>
    <xf numFmtId="0" fontId="44" fillId="0" borderId="4" xfId="2" quotePrefix="1" applyFont="1" applyBorder="1" applyAlignment="1">
      <alignment horizontal="left" vertical="center" wrapText="1"/>
    </xf>
    <xf numFmtId="0" fontId="44" fillId="0" borderId="48" xfId="2" quotePrefix="1" applyFont="1" applyBorder="1" applyAlignment="1">
      <alignment horizontal="left" vertical="center" wrapText="1"/>
    </xf>
    <xf numFmtId="0" fontId="44" fillId="0" borderId="49" xfId="2" quotePrefix="1" applyFont="1" applyBorder="1" applyAlignment="1">
      <alignment horizontal="left" vertical="center" wrapText="1"/>
    </xf>
    <xf numFmtId="0" fontId="44" fillId="0" borderId="50" xfId="2" quotePrefix="1" applyFont="1" applyBorder="1" applyAlignment="1">
      <alignment horizontal="left" vertical="center" wrapText="1"/>
    </xf>
    <xf numFmtId="0" fontId="46" fillId="3" borderId="31" xfId="2" quotePrefix="1" applyFont="1" applyFill="1" applyBorder="1" applyAlignment="1">
      <alignment horizontal="left" vertical="top" wrapText="1"/>
    </xf>
    <xf numFmtId="0" fontId="47" fillId="3" borderId="32" xfId="2" quotePrefix="1" applyFont="1" applyFill="1" applyBorder="1" applyAlignment="1">
      <alignment horizontal="left" vertical="top" wrapText="1"/>
    </xf>
    <xf numFmtId="0" fontId="47" fillId="3" borderId="33" xfId="2" quotePrefix="1" applyFont="1" applyFill="1" applyBorder="1" applyAlignment="1">
      <alignment horizontal="left" vertical="top" wrapText="1"/>
    </xf>
    <xf numFmtId="0" fontId="44" fillId="0" borderId="3" xfId="2" quotePrefix="1" applyFont="1" applyBorder="1" applyAlignment="1">
      <alignment horizontal="left" vertical="top" wrapText="1"/>
    </xf>
    <xf numFmtId="0" fontId="44" fillId="0" borderId="0" xfId="2" quotePrefix="1" applyFont="1" applyAlignment="1">
      <alignment horizontal="left" vertical="top" wrapText="1"/>
    </xf>
    <xf numFmtId="0" fontId="44" fillId="0" borderId="4" xfId="2" quotePrefix="1" applyFont="1" applyBorder="1" applyAlignment="1">
      <alignment horizontal="left" vertical="top" wrapText="1"/>
    </xf>
    <xf numFmtId="0" fontId="49" fillId="14" borderId="34" xfId="3" applyFont="1" applyFill="1" applyBorder="1" applyAlignment="1">
      <alignment horizontal="center" vertical="center" wrapText="1"/>
    </xf>
    <xf numFmtId="0" fontId="49" fillId="14" borderId="35" xfId="3" applyFont="1" applyFill="1" applyBorder="1" applyAlignment="1">
      <alignment horizontal="center" vertical="center" wrapText="1"/>
    </xf>
    <xf numFmtId="0" fontId="49" fillId="14" borderId="36" xfId="2" applyFont="1" applyFill="1" applyBorder="1" applyAlignment="1">
      <alignment horizontal="center" vertical="center"/>
    </xf>
    <xf numFmtId="0" fontId="49" fillId="14" borderId="37" xfId="2" applyFont="1" applyFill="1" applyBorder="1" applyAlignment="1">
      <alignment horizontal="center" vertical="center"/>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49" fillId="3" borderId="38" xfId="3" applyFont="1" applyFill="1" applyBorder="1" applyAlignment="1">
      <alignment horizontal="left" vertical="top" wrapText="1" readingOrder="1"/>
    </xf>
    <xf numFmtId="0" fontId="49" fillId="3" borderId="39" xfId="3" applyFont="1" applyFill="1" applyBorder="1" applyAlignment="1">
      <alignment horizontal="left" vertical="top" wrapText="1" readingOrder="1"/>
    </xf>
    <xf numFmtId="0" fontId="50" fillId="3" borderId="40" xfId="2" applyFont="1" applyFill="1" applyBorder="1" applyAlignment="1">
      <alignment horizontal="justify" vertical="center" wrapText="1"/>
    </xf>
    <xf numFmtId="0" fontId="50" fillId="3" borderId="41" xfId="2" applyFont="1" applyFill="1" applyBorder="1" applyAlignment="1">
      <alignment horizontal="justify" vertical="center" wrapText="1"/>
    </xf>
    <xf numFmtId="0" fontId="49" fillId="3" borderId="42" xfId="0" applyFont="1" applyFill="1" applyBorder="1" applyAlignment="1">
      <alignment horizontal="left" vertical="center" wrapText="1"/>
    </xf>
    <xf numFmtId="0" fontId="49" fillId="3" borderId="43" xfId="0" applyFont="1" applyFill="1" applyBorder="1" applyAlignment="1">
      <alignment horizontal="left" vertical="center" wrapText="1"/>
    </xf>
    <xf numFmtId="0" fontId="50" fillId="3" borderId="44" xfId="2" applyFont="1" applyFill="1" applyBorder="1" applyAlignment="1">
      <alignment horizontal="justify" vertical="center" wrapText="1"/>
    </xf>
    <xf numFmtId="0" fontId="50" fillId="3" borderId="45" xfId="2" applyFont="1" applyFill="1" applyBorder="1" applyAlignment="1">
      <alignment horizontal="justify" vertical="center" wrapText="1"/>
    </xf>
    <xf numFmtId="0" fontId="44" fillId="3" borderId="3" xfId="2" applyFont="1" applyFill="1" applyBorder="1" applyAlignment="1">
      <alignment horizontal="left" vertical="top" wrapText="1"/>
    </xf>
    <xf numFmtId="0" fontId="44" fillId="3" borderId="0" xfId="2" applyFont="1" applyFill="1" applyAlignment="1">
      <alignment horizontal="left" vertical="top" wrapText="1"/>
    </xf>
    <xf numFmtId="0" fontId="44" fillId="3" borderId="4" xfId="2" applyFont="1" applyFill="1" applyBorder="1" applyAlignment="1">
      <alignment horizontal="left" vertical="top" wrapText="1"/>
    </xf>
    <xf numFmtId="0" fontId="50" fillId="3" borderId="44" xfId="2" applyFont="1" applyFill="1" applyBorder="1" applyAlignment="1">
      <alignment horizontal="left" vertical="center" wrapText="1"/>
    </xf>
    <xf numFmtId="0" fontId="50" fillId="3" borderId="45" xfId="2" applyFont="1" applyFill="1" applyBorder="1" applyAlignment="1">
      <alignment horizontal="left" vertical="center" wrapText="1"/>
    </xf>
    <xf numFmtId="0" fontId="49" fillId="3" borderId="51" xfId="0" applyFont="1" applyFill="1" applyBorder="1" applyAlignment="1">
      <alignment horizontal="left" vertical="center" wrapText="1"/>
    </xf>
    <xf numFmtId="0" fontId="49" fillId="3" borderId="52" xfId="0" applyFont="1" applyFill="1" applyBorder="1" applyAlignment="1">
      <alignment horizontal="left" vertical="center" wrapText="1"/>
    </xf>
    <xf numFmtId="0" fontId="49" fillId="3" borderId="53" xfId="0" applyFont="1" applyFill="1" applyBorder="1" applyAlignment="1">
      <alignment horizontal="left" vertical="center" wrapText="1"/>
    </xf>
    <xf numFmtId="0" fontId="49" fillId="3" borderId="54" xfId="0" applyFont="1" applyFill="1" applyBorder="1" applyAlignment="1">
      <alignment horizontal="left" vertical="center" wrapText="1"/>
    </xf>
    <xf numFmtId="0" fontId="50" fillId="3" borderId="46" xfId="0" applyFont="1" applyFill="1" applyBorder="1" applyAlignment="1">
      <alignment horizontal="justify" vertical="center" wrapText="1"/>
    </xf>
    <xf numFmtId="0" fontId="50" fillId="3" borderId="47" xfId="0" applyFont="1" applyFill="1" applyBorder="1" applyAlignment="1">
      <alignment horizontal="justify" vertical="center" wrapText="1"/>
    </xf>
    <xf numFmtId="0" fontId="54" fillId="0" borderId="13" xfId="0" applyFont="1" applyBorder="1" applyAlignment="1" applyProtection="1">
      <alignment horizontal="center" vertical="center"/>
      <protection hidden="1"/>
    </xf>
    <xf numFmtId="0" fontId="53" fillId="0" borderId="78" xfId="0" applyFont="1" applyBorder="1" applyAlignment="1" applyProtection="1">
      <alignment horizontal="center" vertical="center" wrapText="1"/>
      <protection locked="0"/>
    </xf>
    <xf numFmtId="0" fontId="53" fillId="0" borderId="66" xfId="0" applyFont="1" applyBorder="1" applyAlignment="1" applyProtection="1">
      <alignment horizontal="center" vertical="center" wrapText="1"/>
      <protection locked="0"/>
    </xf>
    <xf numFmtId="0" fontId="53" fillId="0" borderId="13" xfId="0" applyFont="1" applyBorder="1" applyAlignment="1" applyProtection="1">
      <alignment horizontal="center" vertical="center" wrapText="1"/>
      <protection locked="0"/>
    </xf>
    <xf numFmtId="0" fontId="53" fillId="0" borderId="68" xfId="0" applyFont="1" applyBorder="1" applyAlignment="1" applyProtection="1">
      <alignment horizontal="center" vertical="center" wrapText="1"/>
      <protection locked="0"/>
    </xf>
    <xf numFmtId="0" fontId="53" fillId="0" borderId="68"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68" xfId="0" applyFont="1" applyBorder="1" applyAlignment="1">
      <alignment horizontal="center" vertical="center"/>
    </xf>
    <xf numFmtId="0" fontId="53" fillId="0" borderId="14" xfId="0" applyFont="1" applyBorder="1" applyAlignment="1">
      <alignment horizontal="center" vertical="center"/>
    </xf>
    <xf numFmtId="0" fontId="53" fillId="0" borderId="13" xfId="0" applyFont="1" applyBorder="1" applyAlignment="1">
      <alignment horizontal="center" vertical="center"/>
    </xf>
    <xf numFmtId="0" fontId="53" fillId="0" borderId="13" xfId="0" applyFont="1" applyBorder="1" applyAlignment="1" applyProtection="1">
      <alignment horizontal="center" vertical="center"/>
      <protection locked="0"/>
    </xf>
    <xf numFmtId="0" fontId="54" fillId="0" borderId="13" xfId="0" applyFont="1" applyBorder="1" applyAlignment="1" applyProtection="1">
      <alignment horizontal="center" vertical="center" wrapText="1"/>
      <protection hidden="1"/>
    </xf>
    <xf numFmtId="0" fontId="53" fillId="0" borderId="14" xfId="0" applyFont="1" applyBorder="1" applyAlignment="1" applyProtection="1">
      <alignment horizontal="center" vertical="center" wrapText="1"/>
      <protection locked="0"/>
    </xf>
    <xf numFmtId="14" fontId="53" fillId="0" borderId="68" xfId="0" applyNumberFormat="1" applyFont="1" applyBorder="1" applyAlignment="1" applyProtection="1">
      <alignment horizontal="center" vertical="center" wrapText="1"/>
      <protection locked="0"/>
    </xf>
    <xf numFmtId="14" fontId="53" fillId="0" borderId="14" xfId="0" applyNumberFormat="1" applyFont="1" applyBorder="1" applyAlignment="1" applyProtection="1">
      <alignment horizontal="center" vertical="center" wrapText="1"/>
      <protection locked="0"/>
    </xf>
    <xf numFmtId="0" fontId="53" fillId="0" borderId="68"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68" xfId="0" applyFont="1" applyBorder="1" applyAlignment="1" applyProtection="1">
      <alignment horizontal="center" vertical="center" textRotation="90"/>
      <protection locked="0"/>
    </xf>
    <xf numFmtId="0" fontId="53" fillId="0" borderId="14" xfId="0" applyFont="1" applyBorder="1" applyAlignment="1" applyProtection="1">
      <alignment horizontal="center" vertical="center" textRotation="90"/>
      <protection locked="0"/>
    </xf>
    <xf numFmtId="14" fontId="53" fillId="0" borderId="68" xfId="0" applyNumberFormat="1" applyFont="1" applyBorder="1" applyAlignment="1" applyProtection="1">
      <alignment horizontal="center" vertical="center"/>
      <protection locked="0"/>
    </xf>
    <xf numFmtId="14" fontId="53" fillId="0" borderId="14" xfId="0" applyNumberFormat="1" applyFont="1" applyBorder="1" applyAlignment="1" applyProtection="1">
      <alignment horizontal="center" vertical="center"/>
      <protection locked="0"/>
    </xf>
    <xf numFmtId="9" fontId="53" fillId="0" borderId="13" xfId="0" applyNumberFormat="1" applyFont="1" applyBorder="1" applyAlignment="1" applyProtection="1">
      <alignment horizontal="center" vertical="center" wrapText="1"/>
      <protection hidden="1"/>
    </xf>
    <xf numFmtId="9" fontId="53" fillId="0" borderId="13" xfId="0" applyNumberFormat="1" applyFont="1" applyBorder="1" applyAlignment="1" applyProtection="1">
      <alignment horizontal="center" vertical="center" wrapText="1"/>
      <protection locked="0"/>
    </xf>
    <xf numFmtId="0" fontId="54" fillId="0" borderId="110" xfId="0" applyFont="1" applyBorder="1" applyAlignment="1" applyProtection="1">
      <alignment horizontal="center" vertical="center" wrapText="1"/>
      <protection hidden="1"/>
    </xf>
    <xf numFmtId="0" fontId="54" fillId="0" borderId="99" xfId="0" applyFont="1" applyBorder="1" applyAlignment="1" applyProtection="1">
      <alignment horizontal="center" vertical="center" wrapText="1"/>
      <protection hidden="1"/>
    </xf>
    <xf numFmtId="9" fontId="53" fillId="0" borderId="97" xfId="0" applyNumberFormat="1" applyFont="1" applyBorder="1" applyAlignment="1" applyProtection="1">
      <alignment horizontal="center" vertical="center" wrapText="1"/>
      <protection hidden="1"/>
    </xf>
    <xf numFmtId="9" fontId="53" fillId="0" borderId="87" xfId="0" applyNumberFormat="1" applyFont="1" applyBorder="1" applyAlignment="1" applyProtection="1">
      <alignment horizontal="center" vertical="center" wrapText="1"/>
      <protection hidden="1"/>
    </xf>
    <xf numFmtId="0" fontId="54" fillId="0" borderId="65" xfId="0" applyFont="1" applyBorder="1" applyAlignment="1" applyProtection="1">
      <alignment horizontal="center" vertical="center" textRotation="90"/>
      <protection hidden="1"/>
    </xf>
    <xf numFmtId="0" fontId="54" fillId="0" borderId="58" xfId="0" applyFont="1" applyBorder="1" applyAlignment="1" applyProtection="1">
      <alignment horizontal="center" vertical="center" textRotation="90"/>
      <protection hidden="1"/>
    </xf>
    <xf numFmtId="0" fontId="54" fillId="0" borderId="13" xfId="0" applyFont="1" applyBorder="1" applyAlignment="1" applyProtection="1">
      <alignment horizontal="center" vertical="center" textRotation="90"/>
      <protection hidden="1"/>
    </xf>
    <xf numFmtId="0" fontId="53" fillId="0" borderId="79" xfId="0" applyFont="1" applyBorder="1" applyAlignment="1">
      <alignment horizontal="center" vertical="center"/>
    </xf>
    <xf numFmtId="0" fontId="53" fillId="0" borderId="65" xfId="0" applyFont="1" applyBorder="1" applyAlignment="1">
      <alignment horizontal="center" vertical="center"/>
    </xf>
    <xf numFmtId="0" fontId="53" fillId="0" borderId="79" xfId="0" applyFont="1" applyBorder="1" applyAlignment="1" applyProtection="1">
      <alignment horizontal="center" vertical="center" wrapText="1"/>
      <protection locked="0"/>
    </xf>
    <xf numFmtId="0" fontId="54" fillId="0" borderId="87" xfId="0" applyFont="1" applyBorder="1" applyAlignment="1" applyProtection="1">
      <alignment horizontal="center" vertical="center" wrapText="1"/>
      <protection hidden="1"/>
    </xf>
    <xf numFmtId="9" fontId="53" fillId="0" borderId="94" xfId="0" applyNumberFormat="1" applyFont="1" applyBorder="1" applyAlignment="1" applyProtection="1">
      <alignment horizontal="center" vertical="center" wrapText="1"/>
      <protection locked="0"/>
    </xf>
    <xf numFmtId="9" fontId="53" fillId="0" borderId="95" xfId="0" applyNumberFormat="1" applyFont="1" applyBorder="1" applyAlignment="1" applyProtection="1">
      <alignment horizontal="center" vertical="center" wrapText="1"/>
      <protection locked="0"/>
    </xf>
    <xf numFmtId="9" fontId="53" fillId="0" borderId="59" xfId="0" applyNumberFormat="1" applyFont="1" applyBorder="1" applyAlignment="1" applyProtection="1">
      <alignment horizontal="center" vertical="center" wrapText="1"/>
      <protection hidden="1"/>
    </xf>
    <xf numFmtId="0" fontId="54" fillId="0" borderId="97" xfId="0" applyFont="1" applyBorder="1" applyAlignment="1" applyProtection="1">
      <alignment horizontal="center" vertical="center"/>
      <protection hidden="1"/>
    </xf>
    <xf numFmtId="0" fontId="54" fillId="0" borderId="87" xfId="0" applyFont="1" applyBorder="1" applyAlignment="1" applyProtection="1">
      <alignment horizontal="center" vertical="center"/>
      <protection hidden="1"/>
    </xf>
    <xf numFmtId="0" fontId="53" fillId="0" borderId="65" xfId="0" applyFont="1" applyBorder="1" applyAlignment="1" applyProtection="1">
      <alignment horizontal="center" vertical="center" wrapText="1"/>
      <protection locked="0"/>
    </xf>
    <xf numFmtId="0" fontId="53" fillId="0" borderId="55" xfId="0" applyFont="1" applyBorder="1" applyAlignment="1" applyProtection="1">
      <alignment horizontal="center" vertical="center" wrapText="1"/>
      <protection locked="0"/>
    </xf>
    <xf numFmtId="0" fontId="53" fillId="0" borderId="13" xfId="0" applyFont="1" applyBorder="1" applyAlignment="1">
      <alignment horizontal="center" vertical="center" wrapText="1"/>
    </xf>
    <xf numFmtId="9" fontId="53" fillId="0" borderId="103" xfId="0" applyNumberFormat="1" applyFont="1" applyBorder="1" applyAlignment="1" applyProtection="1">
      <alignment horizontal="center" vertical="center" wrapText="1"/>
      <protection hidden="1"/>
    </xf>
    <xf numFmtId="9" fontId="53" fillId="0" borderId="56" xfId="0" applyNumberFormat="1" applyFont="1" applyBorder="1" applyAlignment="1" applyProtection="1">
      <alignment horizontal="center" vertical="center" wrapText="1"/>
      <protection hidden="1"/>
    </xf>
    <xf numFmtId="0" fontId="53" fillId="0" borderId="79" xfId="0" applyFont="1" applyBorder="1" applyAlignment="1">
      <alignment horizontal="center" vertical="center" wrapText="1"/>
    </xf>
    <xf numFmtId="0" fontId="53" fillId="0" borderId="61" xfId="0" applyFont="1" applyBorder="1" applyAlignment="1" applyProtection="1">
      <alignment horizontal="center" vertical="center" wrapText="1"/>
      <protection locked="0"/>
    </xf>
    <xf numFmtId="0" fontId="53" fillId="0" borderId="63" xfId="0" applyFont="1" applyBorder="1" applyAlignment="1" applyProtection="1">
      <alignment horizontal="center" vertical="center" wrapText="1"/>
      <protection locked="0"/>
    </xf>
    <xf numFmtId="0" fontId="53" fillId="0" borderId="106"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87" xfId="0" applyFont="1" applyBorder="1" applyAlignment="1" applyProtection="1">
      <alignment horizontal="center" vertical="center" wrapText="1"/>
      <protection locked="0"/>
    </xf>
    <xf numFmtId="0" fontId="53" fillId="0" borderId="68" xfId="0" applyFont="1" applyBorder="1" applyAlignment="1" applyProtection="1">
      <alignment horizontal="center" vertical="center" textRotation="90" wrapText="1"/>
      <protection locked="0"/>
    </xf>
    <xf numFmtId="0" fontId="53" fillId="0" borderId="14" xfId="0" applyFont="1" applyBorder="1" applyAlignment="1" applyProtection="1">
      <alignment horizontal="center" vertical="center" textRotation="90" wrapText="1"/>
      <protection locked="0"/>
    </xf>
    <xf numFmtId="0" fontId="54" fillId="0" borderId="68" xfId="0" applyFont="1" applyBorder="1" applyAlignment="1" applyProtection="1">
      <alignment horizontal="center" vertical="center" textRotation="90"/>
      <protection hidden="1"/>
    </xf>
    <xf numFmtId="0" fontId="54" fillId="0" borderId="87" xfId="0" applyFont="1" applyBorder="1" applyAlignment="1" applyProtection="1">
      <alignment horizontal="center" vertical="center" textRotation="90"/>
      <protection hidden="1"/>
    </xf>
    <xf numFmtId="0" fontId="54" fillId="0" borderId="14" xfId="0" applyFont="1" applyBorder="1" applyAlignment="1" applyProtection="1">
      <alignment horizontal="center" vertical="center" textRotation="90"/>
      <protection hidden="1"/>
    </xf>
    <xf numFmtId="0" fontId="54" fillId="0" borderId="6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87" xfId="0" applyFont="1" applyBorder="1" applyAlignment="1">
      <alignment horizontal="center" vertical="center"/>
    </xf>
    <xf numFmtId="9" fontId="53" fillId="0" borderId="109" xfId="0" applyNumberFormat="1" applyFont="1" applyBorder="1" applyAlignment="1" applyProtection="1">
      <alignment horizontal="center" vertical="center" wrapText="1"/>
      <protection locked="0"/>
    </xf>
    <xf numFmtId="9" fontId="53" fillId="0" borderId="98" xfId="0" applyNumberFormat="1" applyFont="1" applyBorder="1" applyAlignment="1" applyProtection="1">
      <alignment horizontal="center" vertical="center" wrapText="1"/>
      <protection locked="0"/>
    </xf>
    <xf numFmtId="9" fontId="53" fillId="0" borderId="64" xfId="0" applyNumberFormat="1" applyFont="1" applyBorder="1" applyAlignment="1" applyProtection="1">
      <alignment horizontal="center" vertical="center" wrapText="1"/>
      <protection hidden="1"/>
    </xf>
    <xf numFmtId="9" fontId="53" fillId="0" borderId="68" xfId="0" applyNumberFormat="1" applyFont="1" applyBorder="1" applyAlignment="1" applyProtection="1">
      <alignment horizontal="center" vertical="center" wrapText="1"/>
      <protection locked="0"/>
    </xf>
    <xf numFmtId="9" fontId="53" fillId="0" borderId="14" xfId="0" applyNumberFormat="1" applyFont="1" applyBorder="1" applyAlignment="1" applyProtection="1">
      <alignment horizontal="center" vertical="center" wrapText="1"/>
      <protection locked="0"/>
    </xf>
    <xf numFmtId="0" fontId="53" fillId="0" borderId="97" xfId="0" applyFont="1" applyBorder="1" applyAlignment="1" applyProtection="1">
      <alignment horizontal="center" vertical="center"/>
      <protection locked="0"/>
    </xf>
    <xf numFmtId="0" fontId="53" fillId="0" borderId="87" xfId="0" applyFont="1" applyBorder="1" applyAlignment="1" applyProtection="1">
      <alignment horizontal="center" vertical="center"/>
      <protection locked="0"/>
    </xf>
    <xf numFmtId="14" fontId="53" fillId="0" borderId="13" xfId="0" applyNumberFormat="1" applyFont="1" applyBorder="1" applyAlignment="1" applyProtection="1">
      <alignment horizontal="center" vertical="center"/>
      <protection locked="0"/>
    </xf>
    <xf numFmtId="0" fontId="53" fillId="0" borderId="97" xfId="0" applyFont="1" applyBorder="1" applyAlignment="1" applyProtection="1">
      <alignment horizontal="center" vertical="center" wrapText="1"/>
      <protection locked="0"/>
    </xf>
    <xf numFmtId="9" fontId="53" fillId="0" borderId="68" xfId="0" applyNumberFormat="1" applyFont="1" applyBorder="1" applyAlignment="1" applyProtection="1">
      <alignment horizontal="center" vertical="center" wrapText="1"/>
      <protection hidden="1"/>
    </xf>
    <xf numFmtId="9" fontId="53" fillId="0" borderId="14" xfId="0" applyNumberFormat="1" applyFont="1" applyBorder="1" applyAlignment="1" applyProtection="1">
      <alignment horizontal="center" vertical="center" wrapText="1"/>
      <protection hidden="1"/>
    </xf>
    <xf numFmtId="14" fontId="53" fillId="0" borderId="87" xfId="0" applyNumberFormat="1" applyFont="1" applyBorder="1" applyAlignment="1" applyProtection="1">
      <alignment horizontal="center" vertical="center" wrapText="1"/>
      <protection locked="0"/>
    </xf>
    <xf numFmtId="14" fontId="53" fillId="0" borderId="87" xfId="0" applyNumberFormat="1" applyFont="1" applyBorder="1" applyAlignment="1" applyProtection="1">
      <alignment horizontal="center" vertical="center"/>
      <protection locked="0"/>
    </xf>
    <xf numFmtId="0" fontId="53" fillId="0" borderId="56" xfId="0" applyFont="1" applyBorder="1" applyAlignment="1" applyProtection="1">
      <alignment horizontal="center" vertical="center" wrapText="1"/>
      <protection locked="0"/>
    </xf>
    <xf numFmtId="0" fontId="54" fillId="0" borderId="91" xfId="0" applyFont="1" applyBorder="1" applyAlignment="1" applyProtection="1">
      <alignment horizontal="center" vertical="center" wrapText="1"/>
      <protection hidden="1"/>
    </xf>
    <xf numFmtId="0" fontId="54" fillId="0" borderId="107" xfId="0" applyFont="1" applyBorder="1" applyAlignment="1" applyProtection="1">
      <alignment horizontal="center" vertical="center" wrapText="1"/>
      <protection hidden="1"/>
    </xf>
    <xf numFmtId="0" fontId="53" fillId="0" borderId="65" xfId="0" applyFont="1" applyBorder="1" applyAlignment="1">
      <alignment horizontal="center" vertical="center" wrapText="1"/>
    </xf>
    <xf numFmtId="0" fontId="53" fillId="0" borderId="55" xfId="0" applyFont="1" applyBorder="1" applyAlignment="1">
      <alignment horizontal="center" vertical="center" wrapText="1"/>
    </xf>
    <xf numFmtId="0" fontId="54" fillId="0" borderId="56" xfId="0" applyFont="1" applyBorder="1" applyAlignment="1" applyProtection="1">
      <alignment horizontal="center" vertical="center" wrapText="1"/>
      <protection hidden="1"/>
    </xf>
    <xf numFmtId="9" fontId="53" fillId="0" borderId="59" xfId="0" applyNumberFormat="1" applyFont="1" applyBorder="1" applyAlignment="1" applyProtection="1">
      <alignment horizontal="center" vertical="center" wrapText="1"/>
      <protection locked="0"/>
    </xf>
    <xf numFmtId="0" fontId="54" fillId="0" borderId="59" xfId="0" applyFont="1" applyBorder="1" applyAlignment="1" applyProtection="1">
      <alignment horizontal="center" vertical="center"/>
      <protection hidden="1"/>
    </xf>
    <xf numFmtId="0" fontId="53" fillId="0" borderId="13" xfId="0" applyFont="1" applyBorder="1" applyAlignment="1" applyProtection="1">
      <alignment horizontal="center" vertical="center" textRotation="90"/>
      <protection locked="0"/>
    </xf>
    <xf numFmtId="0" fontId="54" fillId="0" borderId="81" xfId="0" applyFont="1" applyBorder="1" applyAlignment="1" applyProtection="1">
      <alignment horizontal="center" vertical="center" wrapText="1"/>
      <protection hidden="1"/>
    </xf>
    <xf numFmtId="0" fontId="54" fillId="0" borderId="59" xfId="0" applyFont="1" applyBorder="1" applyAlignment="1" applyProtection="1">
      <alignment horizontal="center" vertical="center" wrapText="1"/>
      <protection hidden="1"/>
    </xf>
    <xf numFmtId="9" fontId="53" fillId="0" borderId="81" xfId="0" applyNumberFormat="1" applyFont="1" applyBorder="1" applyAlignment="1" applyProtection="1">
      <alignment horizontal="center" vertical="center" wrapText="1"/>
      <protection hidden="1"/>
    </xf>
    <xf numFmtId="0" fontId="53" fillId="0" borderId="97" xfId="0" applyFont="1" applyBorder="1" applyAlignment="1" applyProtection="1">
      <alignment horizontal="center" vertical="center" textRotation="90"/>
      <protection locked="0"/>
    </xf>
    <xf numFmtId="14" fontId="53" fillId="0" borderId="97" xfId="0" applyNumberFormat="1" applyFont="1" applyBorder="1" applyAlignment="1" applyProtection="1">
      <alignment horizontal="center" vertical="center"/>
      <protection locked="0"/>
    </xf>
    <xf numFmtId="0" fontId="53" fillId="0" borderId="59" xfId="0" applyFont="1" applyBorder="1" applyAlignment="1" applyProtection="1">
      <alignment horizontal="center" vertical="center" wrapText="1"/>
      <protection locked="0"/>
    </xf>
    <xf numFmtId="0" fontId="53" fillId="0" borderId="92" xfId="0" applyFont="1" applyBorder="1" applyAlignment="1" applyProtection="1">
      <alignment horizontal="center" vertical="center"/>
      <protection locked="0"/>
    </xf>
    <xf numFmtId="0" fontId="53" fillId="0" borderId="93" xfId="0" applyFont="1" applyBorder="1" applyAlignment="1" applyProtection="1">
      <alignment horizontal="center" vertical="center"/>
      <protection locked="0"/>
    </xf>
    <xf numFmtId="0" fontId="53" fillId="0" borderId="108" xfId="0" applyFont="1" applyBorder="1" applyAlignment="1" applyProtection="1">
      <alignment horizontal="center" vertical="center" wrapText="1"/>
      <protection locked="0"/>
    </xf>
    <xf numFmtId="0" fontId="53" fillId="0" borderId="96"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0" fontId="53" fillId="0" borderId="88" xfId="0" applyFont="1" applyBorder="1" applyAlignment="1" applyProtection="1">
      <alignment horizontal="center" vertical="center" wrapText="1"/>
      <protection locked="0"/>
    </xf>
    <xf numFmtId="0" fontId="53" fillId="0" borderId="103" xfId="0" quotePrefix="1" applyFont="1" applyBorder="1" applyAlignment="1" applyProtection="1">
      <alignment horizontal="center" vertical="center" wrapText="1"/>
      <protection locked="0"/>
    </xf>
    <xf numFmtId="0" fontId="53" fillId="0" borderId="59" xfId="0" applyFont="1" applyBorder="1" applyAlignment="1" applyProtection="1">
      <alignment horizontal="center" vertical="center"/>
      <protection locked="0"/>
    </xf>
    <xf numFmtId="0" fontId="53" fillId="0" borderId="82" xfId="0" applyFont="1" applyBorder="1" applyAlignment="1" applyProtection="1">
      <alignment horizontal="center" vertical="center" wrapText="1"/>
      <protection locked="0"/>
    </xf>
    <xf numFmtId="0" fontId="53" fillId="0" borderId="83" xfId="0" applyFont="1" applyBorder="1" applyAlignment="1" applyProtection="1">
      <alignment horizontal="center" vertical="center" wrapText="1"/>
      <protection locked="0"/>
    </xf>
    <xf numFmtId="0" fontId="53" fillId="0" borderId="105" xfId="0" applyFont="1" applyBorder="1" applyAlignment="1" applyProtection="1">
      <alignment horizontal="center" vertical="center" wrapText="1"/>
      <protection locked="0"/>
    </xf>
    <xf numFmtId="0" fontId="53" fillId="0" borderId="104" xfId="0" applyFont="1" applyBorder="1" applyAlignment="1" applyProtection="1">
      <alignment horizontal="center" vertical="center" wrapText="1"/>
      <protection locked="0"/>
    </xf>
    <xf numFmtId="9" fontId="53" fillId="0" borderId="61" xfId="0" applyNumberFormat="1" applyFont="1" applyBorder="1" applyAlignment="1" applyProtection="1">
      <alignment horizontal="center" vertical="center" wrapText="1"/>
      <protection hidden="1"/>
    </xf>
    <xf numFmtId="0" fontId="53" fillId="0" borderId="83" xfId="0" applyFont="1" applyBorder="1" applyAlignment="1" applyProtection="1">
      <alignment horizontal="center" vertical="center"/>
      <protection locked="0"/>
    </xf>
    <xf numFmtId="0" fontId="53" fillId="0" borderId="61" xfId="0" applyFont="1" applyBorder="1" applyAlignment="1" applyProtection="1">
      <alignment horizontal="center" vertical="center"/>
      <protection locked="0"/>
    </xf>
    <xf numFmtId="9" fontId="53" fillId="0" borderId="81" xfId="0" applyNumberFormat="1" applyFont="1" applyBorder="1" applyAlignment="1" applyProtection="1">
      <alignment horizontal="center" vertical="center" wrapText="1"/>
      <protection locked="0"/>
    </xf>
    <xf numFmtId="9" fontId="53" fillId="0" borderId="64" xfId="0" applyNumberFormat="1" applyFont="1" applyBorder="1" applyAlignment="1" applyProtection="1">
      <alignment horizontal="center" vertical="center" wrapText="1"/>
      <protection locked="0"/>
    </xf>
    <xf numFmtId="0" fontId="54" fillId="0" borderId="81" xfId="0" applyFont="1" applyBorder="1" applyAlignment="1" applyProtection="1">
      <alignment horizontal="center" vertical="center"/>
      <protection hidden="1"/>
    </xf>
    <xf numFmtId="0" fontId="54" fillId="0" borderId="64" xfId="0" applyFont="1" applyBorder="1" applyAlignment="1" applyProtection="1">
      <alignment horizontal="center" vertical="center"/>
      <protection hidden="1"/>
    </xf>
    <xf numFmtId="0" fontId="53" fillId="0" borderId="87" xfId="0" applyFont="1" applyBorder="1" applyAlignment="1" applyProtection="1">
      <alignment horizontal="center" vertical="center" textRotation="90"/>
      <protection locked="0"/>
    </xf>
    <xf numFmtId="9" fontId="53" fillId="0" borderId="92" xfId="0" applyNumberFormat="1" applyFont="1" applyBorder="1" applyAlignment="1" applyProtection="1">
      <alignment horizontal="center" vertical="center" wrapText="1"/>
      <protection locked="0"/>
    </xf>
    <xf numFmtId="9" fontId="53" fillId="0" borderId="112" xfId="0" applyNumberFormat="1" applyFont="1" applyBorder="1" applyAlignment="1" applyProtection="1">
      <alignment horizontal="center" vertical="center" wrapText="1"/>
      <protection locked="0"/>
    </xf>
    <xf numFmtId="0" fontId="53" fillId="0" borderId="81" xfId="0" applyFont="1" applyBorder="1" applyAlignment="1" applyProtection="1">
      <alignment horizontal="center" vertical="center"/>
      <protection locked="0"/>
    </xf>
    <xf numFmtId="0" fontId="53" fillId="0" borderId="80" xfId="0" applyFont="1" applyBorder="1" applyAlignment="1" applyProtection="1">
      <alignment horizontal="center" vertical="center" wrapText="1"/>
      <protection locked="0"/>
    </xf>
    <xf numFmtId="0" fontId="53" fillId="0" borderId="66" xfId="0" applyFont="1" applyBorder="1" applyAlignment="1">
      <alignment horizontal="center" vertical="center" wrapText="1"/>
    </xf>
    <xf numFmtId="0" fontId="53" fillId="0" borderId="57" xfId="0" applyFont="1" applyBorder="1" applyAlignment="1">
      <alignment horizontal="center" vertical="center" wrapText="1"/>
    </xf>
    <xf numFmtId="0" fontId="53" fillId="0" borderId="87" xfId="0" applyFont="1" applyBorder="1" applyAlignment="1">
      <alignment horizontal="center" vertical="center" wrapText="1"/>
    </xf>
    <xf numFmtId="0" fontId="54" fillId="17" borderId="64" xfId="0" applyFont="1" applyFill="1" applyBorder="1" applyAlignment="1">
      <alignment horizontal="center" vertical="center" wrapText="1"/>
    </xf>
    <xf numFmtId="0" fontId="54" fillId="17" borderId="67" xfId="0" applyFont="1" applyFill="1" applyBorder="1" applyAlignment="1">
      <alignment horizontal="center" vertical="center" wrapText="1"/>
    </xf>
    <xf numFmtId="0" fontId="54" fillId="17" borderId="59" xfId="0" applyFont="1" applyFill="1" applyBorder="1" applyAlignment="1">
      <alignment horizontal="center" vertical="center"/>
    </xf>
    <xf numFmtId="0" fontId="54" fillId="17" borderId="64" xfId="0" applyFont="1" applyFill="1" applyBorder="1" applyAlignment="1">
      <alignment horizontal="center" vertical="center"/>
    </xf>
    <xf numFmtId="0" fontId="53" fillId="0" borderId="78" xfId="0" applyFont="1" applyBorder="1" applyAlignment="1">
      <alignment horizontal="center" vertical="center" wrapText="1"/>
    </xf>
    <xf numFmtId="0" fontId="54" fillId="0" borderId="65"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66" xfId="0" applyFont="1" applyBorder="1" applyAlignment="1">
      <alignment horizontal="center" vertical="center" wrapText="1"/>
    </xf>
    <xf numFmtId="0" fontId="54" fillId="0" borderId="55" xfId="0" applyFont="1" applyBorder="1" applyAlignment="1">
      <alignment horizontal="center" vertical="center" wrapText="1"/>
    </xf>
    <xf numFmtId="0" fontId="54" fillId="0" borderId="49" xfId="0" applyFont="1" applyBorder="1" applyAlignment="1">
      <alignment horizontal="center" vertical="center" wrapText="1"/>
    </xf>
    <xf numFmtId="0" fontId="54" fillId="0" borderId="57" xfId="0" applyFont="1" applyBorder="1" applyAlignment="1">
      <alignment horizontal="center" vertical="center" wrapText="1"/>
    </xf>
    <xf numFmtId="0" fontId="54" fillId="0" borderId="79" xfId="0" applyFont="1" applyBorder="1" applyAlignment="1">
      <alignment horizontal="center" vertical="center"/>
    </xf>
    <xf numFmtId="0" fontId="54" fillId="0" borderId="80" xfId="0" applyFont="1" applyBorder="1" applyAlignment="1">
      <alignment horizontal="center" vertical="center"/>
    </xf>
    <xf numFmtId="0" fontId="54" fillId="0" borderId="78" xfId="0" applyFont="1" applyBorder="1" applyAlignment="1">
      <alignment horizontal="center" vertical="center"/>
    </xf>
    <xf numFmtId="0" fontId="64" fillId="0" borderId="65" xfId="4" applyFont="1" applyBorder="1" applyAlignment="1">
      <alignment horizontal="center" vertical="center" wrapText="1"/>
    </xf>
    <xf numFmtId="0" fontId="64" fillId="0" borderId="32" xfId="4" applyFont="1" applyBorder="1" applyAlignment="1">
      <alignment horizontal="center" vertical="center" wrapText="1"/>
    </xf>
    <xf numFmtId="0" fontId="64" fillId="0" borderId="66" xfId="4" applyFont="1" applyBorder="1" applyAlignment="1">
      <alignment horizontal="center" vertical="center" wrapText="1"/>
    </xf>
    <xf numFmtId="0" fontId="64" fillId="0" borderId="55" xfId="4" applyFont="1" applyBorder="1" applyAlignment="1">
      <alignment horizontal="center" vertical="center" wrapText="1"/>
    </xf>
    <xf numFmtId="0" fontId="64" fillId="0" borderId="49" xfId="4" applyFont="1" applyBorder="1" applyAlignment="1">
      <alignment horizontal="center" vertical="center" wrapText="1"/>
    </xf>
    <xf numFmtId="0" fontId="64" fillId="0" borderId="57" xfId="4" applyFont="1" applyBorder="1" applyAlignment="1">
      <alignment horizontal="center" vertical="center" wrapText="1"/>
    </xf>
    <xf numFmtId="0" fontId="64" fillId="0" borderId="79" xfId="4" applyFont="1" applyBorder="1" applyAlignment="1">
      <alignment horizontal="center" vertical="center" wrapText="1"/>
    </xf>
    <xf numFmtId="0" fontId="64" fillId="0" borderId="80" xfId="4" applyFont="1" applyBorder="1" applyAlignment="1">
      <alignment horizontal="center" vertical="center" wrapText="1"/>
    </xf>
    <xf numFmtId="0" fontId="64" fillId="0" borderId="78" xfId="4" applyFont="1" applyBorder="1" applyAlignment="1">
      <alignment horizontal="center" vertical="center" wrapText="1"/>
    </xf>
    <xf numFmtId="0" fontId="54" fillId="21" borderId="59" xfId="0" applyFont="1" applyFill="1" applyBorder="1" applyAlignment="1">
      <alignment horizontal="center" vertical="center" wrapText="1"/>
    </xf>
    <xf numFmtId="0" fontId="54" fillId="21" borderId="64" xfId="0" applyFont="1" applyFill="1" applyBorder="1" applyAlignment="1">
      <alignment horizontal="center" vertical="center" wrapText="1"/>
    </xf>
    <xf numFmtId="0" fontId="54" fillId="21" borderId="59" xfId="0" applyFont="1" applyFill="1" applyBorder="1" applyAlignment="1">
      <alignment horizontal="center" vertical="center"/>
    </xf>
    <xf numFmtId="0" fontId="54" fillId="21" borderId="64" xfId="0" applyFont="1" applyFill="1" applyBorder="1" applyAlignment="1">
      <alignment horizontal="center" vertical="center"/>
    </xf>
    <xf numFmtId="0" fontId="54" fillId="17" borderId="64" xfId="0" applyFont="1" applyFill="1" applyBorder="1" applyAlignment="1">
      <alignment horizontal="center" vertical="center" textRotation="90"/>
    </xf>
    <xf numFmtId="0" fontId="54" fillId="17" borderId="67" xfId="0" applyFont="1" applyFill="1" applyBorder="1" applyAlignment="1">
      <alignment horizontal="center" vertical="center" textRotation="90"/>
    </xf>
    <xf numFmtId="0" fontId="54" fillId="17" borderId="59" xfId="0" applyFont="1" applyFill="1" applyBorder="1" applyAlignment="1">
      <alignment horizontal="center" vertical="center" wrapText="1"/>
    </xf>
    <xf numFmtId="0" fontId="54" fillId="18" borderId="82" xfId="0" applyFont="1" applyFill="1" applyBorder="1" applyAlignment="1">
      <alignment horizontal="center" vertical="center"/>
    </xf>
    <xf numFmtId="0" fontId="54" fillId="18" borderId="60" xfId="0" applyFont="1" applyFill="1" applyBorder="1" applyAlignment="1">
      <alignment horizontal="center" vertical="center"/>
    </xf>
    <xf numFmtId="0" fontId="54" fillId="18" borderId="83" xfId="0" applyFont="1" applyFill="1" applyBorder="1" applyAlignment="1">
      <alignment horizontal="center" vertical="center"/>
    </xf>
    <xf numFmtId="0" fontId="54" fillId="21" borderId="67" xfId="0" applyFont="1" applyFill="1" applyBorder="1" applyAlignment="1">
      <alignment horizontal="center" vertical="center" wrapText="1"/>
    </xf>
    <xf numFmtId="0" fontId="54" fillId="19" borderId="63" xfId="0" applyFont="1" applyFill="1" applyBorder="1" applyAlignment="1">
      <alignment horizontal="center" vertical="center" wrapText="1"/>
    </xf>
    <xf numFmtId="0" fontId="54" fillId="19" borderId="62" xfId="0" applyFont="1" applyFill="1" applyBorder="1" applyAlignment="1">
      <alignment horizontal="center" vertical="center" wrapText="1"/>
    </xf>
    <xf numFmtId="0" fontId="54" fillId="19" borderId="61" xfId="0" applyFont="1" applyFill="1" applyBorder="1" applyAlignment="1">
      <alignment horizontal="center" vertical="center" wrapText="1"/>
    </xf>
    <xf numFmtId="0" fontId="54" fillId="2" borderId="13" xfId="0" applyFont="1" applyFill="1" applyBorder="1" applyAlignment="1">
      <alignment horizontal="center" vertical="center"/>
    </xf>
    <xf numFmtId="0" fontId="54" fillId="23" borderId="59" xfId="0" applyFont="1" applyFill="1" applyBorder="1" applyAlignment="1">
      <alignment horizontal="center" vertical="center"/>
    </xf>
    <xf numFmtId="0" fontId="54" fillId="23" borderId="63" xfId="0" applyFont="1" applyFill="1" applyBorder="1" applyAlignment="1">
      <alignment horizontal="center" vertical="center"/>
    </xf>
    <xf numFmtId="0" fontId="64" fillId="0" borderId="13" xfId="4" applyFont="1" applyBorder="1" applyAlignment="1">
      <alignment horizontal="center" vertical="center" wrapText="1"/>
    </xf>
    <xf numFmtId="14" fontId="59" fillId="0" borderId="79" xfId="4" applyNumberFormat="1" applyFont="1" applyBorder="1" applyAlignment="1">
      <alignment horizontal="center" vertical="center" wrapText="1"/>
    </xf>
    <xf numFmtId="14" fontId="59" fillId="0" borderId="80" xfId="4" applyNumberFormat="1" applyFont="1" applyBorder="1" applyAlignment="1">
      <alignment horizontal="center" vertical="center" wrapText="1"/>
    </xf>
    <xf numFmtId="0" fontId="54" fillId="15" borderId="81" xfId="0" applyFont="1" applyFill="1" applyBorder="1" applyAlignment="1">
      <alignment horizontal="center" vertical="center" wrapText="1"/>
    </xf>
    <xf numFmtId="0" fontId="54" fillId="15" borderId="64" xfId="0" applyFont="1" applyFill="1" applyBorder="1" applyAlignment="1">
      <alignment horizontal="center" vertical="center" wrapText="1"/>
    </xf>
    <xf numFmtId="0" fontId="54" fillId="22" borderId="84" xfId="0" applyFont="1" applyFill="1" applyBorder="1" applyAlignment="1">
      <alignment horizontal="center" vertical="center"/>
    </xf>
    <xf numFmtId="0" fontId="54" fillId="22" borderId="85" xfId="0" applyFont="1" applyFill="1" applyBorder="1" applyAlignment="1">
      <alignment horizontal="center" vertical="center"/>
    </xf>
    <xf numFmtId="0" fontId="54" fillId="22" borderId="86" xfId="0" applyFont="1" applyFill="1" applyBorder="1" applyAlignment="1">
      <alignment horizontal="center" vertical="center"/>
    </xf>
    <xf numFmtId="0" fontId="54" fillId="20" borderId="59" xfId="0" applyFont="1" applyFill="1" applyBorder="1" applyAlignment="1">
      <alignment horizontal="center" vertical="center" textRotation="90" wrapText="1"/>
    </xf>
    <xf numFmtId="0" fontId="54" fillId="20" borderId="64" xfId="0" applyFont="1" applyFill="1" applyBorder="1" applyAlignment="1">
      <alignment horizontal="center" vertical="center" textRotation="90" wrapText="1"/>
    </xf>
    <xf numFmtId="0" fontId="54" fillId="19" borderId="59" xfId="0" applyFont="1" applyFill="1" applyBorder="1" applyAlignment="1">
      <alignment horizontal="center" vertical="center" wrapText="1"/>
    </xf>
    <xf numFmtId="0" fontId="54" fillId="19" borderId="64" xfId="0" applyFont="1" applyFill="1" applyBorder="1" applyAlignment="1">
      <alignment horizontal="center" vertical="center" wrapText="1"/>
    </xf>
    <xf numFmtId="0" fontId="54" fillId="19" borderId="59" xfId="0" applyFont="1" applyFill="1" applyBorder="1" applyAlignment="1">
      <alignment horizontal="center" vertical="center" textRotation="90" wrapText="1"/>
    </xf>
    <xf numFmtId="0" fontId="54" fillId="19" borderId="64" xfId="0" applyFont="1" applyFill="1" applyBorder="1" applyAlignment="1">
      <alignment horizontal="center" vertical="center" textRotation="90" wrapText="1"/>
    </xf>
    <xf numFmtId="0" fontId="54" fillId="16" borderId="63" xfId="0" applyFont="1" applyFill="1" applyBorder="1" applyAlignment="1">
      <alignment horizontal="center" vertical="center"/>
    </xf>
    <xf numFmtId="0" fontId="54" fillId="16" borderId="62" xfId="0" applyFont="1" applyFill="1" applyBorder="1" applyAlignment="1">
      <alignment horizontal="center" vertical="center"/>
    </xf>
    <xf numFmtId="0" fontId="54" fillId="16" borderId="61" xfId="0" applyFont="1" applyFill="1" applyBorder="1" applyAlignment="1">
      <alignment horizontal="center" vertical="center"/>
    </xf>
    <xf numFmtId="0" fontId="54" fillId="0" borderId="59" xfId="0" applyFont="1" applyBorder="1" applyAlignment="1">
      <alignment horizontal="center" vertical="center" textRotation="90" wrapText="1"/>
    </xf>
    <xf numFmtId="0" fontId="54" fillId="0" borderId="64" xfId="0" applyFont="1" applyBorder="1" applyAlignment="1">
      <alignment horizontal="center" vertical="center" textRotation="90" wrapText="1"/>
    </xf>
    <xf numFmtId="0" fontId="53" fillId="0" borderId="58" xfId="0" applyFont="1" applyBorder="1" applyAlignment="1">
      <alignment horizontal="center" vertical="center" wrapText="1"/>
    </xf>
    <xf numFmtId="0" fontId="54" fillId="0" borderId="68" xfId="0" applyFont="1" applyBorder="1" applyAlignment="1" applyProtection="1">
      <alignment horizontal="center" vertical="center"/>
      <protection hidden="1"/>
    </xf>
    <xf numFmtId="0" fontId="54" fillId="0" borderId="14" xfId="0" applyFont="1" applyBorder="1" applyAlignment="1" applyProtection="1">
      <alignment horizontal="center" vertical="center"/>
      <protection hidden="1"/>
    </xf>
    <xf numFmtId="0" fontId="22" fillId="0" borderId="0" xfId="0" applyFont="1" applyAlignment="1">
      <alignment horizontal="center" vertical="center" wrapText="1"/>
    </xf>
    <xf numFmtId="0" fontId="17" fillId="5" borderId="65" xfId="0" applyFont="1" applyFill="1" applyBorder="1" applyAlignment="1" applyProtection="1">
      <alignment horizontal="center" wrapText="1" readingOrder="1"/>
      <protection hidden="1"/>
    </xf>
    <xf numFmtId="0" fontId="17" fillId="5" borderId="32" xfId="0" applyFont="1" applyFill="1" applyBorder="1" applyAlignment="1" applyProtection="1">
      <alignment horizontal="center" wrapText="1" readingOrder="1"/>
      <protection hidden="1"/>
    </xf>
    <xf numFmtId="0" fontId="17" fillId="5" borderId="58"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66" xfId="0" applyFont="1" applyFill="1" applyBorder="1" applyAlignment="1" applyProtection="1">
      <alignment horizontal="center" wrapText="1" readingOrder="1"/>
      <protection hidden="1"/>
    </xf>
    <xf numFmtId="0" fontId="17" fillId="5" borderId="56" xfId="0" applyFont="1" applyFill="1" applyBorder="1" applyAlignment="1" applyProtection="1">
      <alignment horizontal="center" wrapText="1" readingOrder="1"/>
      <protection hidden="1"/>
    </xf>
    <xf numFmtId="0" fontId="17" fillId="5" borderId="55" xfId="0" applyFont="1" applyFill="1" applyBorder="1" applyAlignment="1" applyProtection="1">
      <alignment horizontal="center" wrapText="1" readingOrder="1"/>
      <protection hidden="1"/>
    </xf>
    <xf numFmtId="0" fontId="17" fillId="5" borderId="49" xfId="0" applyFont="1" applyFill="1" applyBorder="1" applyAlignment="1" applyProtection="1">
      <alignment horizontal="center" wrapText="1" readingOrder="1"/>
      <protection hidden="1"/>
    </xf>
    <xf numFmtId="0" fontId="17" fillId="5" borderId="57" xfId="0" applyFont="1" applyFill="1" applyBorder="1" applyAlignment="1" applyProtection="1">
      <alignment horizontal="center" wrapText="1" readingOrder="1"/>
      <protection hidden="1"/>
    </xf>
    <xf numFmtId="0" fontId="17" fillId="13" borderId="65" xfId="0" applyFont="1" applyFill="1" applyBorder="1" applyAlignment="1" applyProtection="1">
      <alignment horizontal="center" wrapText="1" readingOrder="1"/>
      <protection hidden="1"/>
    </xf>
    <xf numFmtId="0" fontId="17" fillId="13" borderId="32" xfId="0" applyFont="1" applyFill="1" applyBorder="1" applyAlignment="1" applyProtection="1">
      <alignment horizontal="center" wrapText="1" readingOrder="1"/>
      <protection hidden="1"/>
    </xf>
    <xf numFmtId="0" fontId="17" fillId="13" borderId="58"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66" xfId="0" applyFont="1" applyFill="1" applyBorder="1" applyAlignment="1" applyProtection="1">
      <alignment horizontal="center" wrapText="1" readingOrder="1"/>
      <protection hidden="1"/>
    </xf>
    <xf numFmtId="0" fontId="17" fillId="13" borderId="56" xfId="0" applyFont="1" applyFill="1" applyBorder="1" applyAlignment="1" applyProtection="1">
      <alignment horizontal="center" wrapText="1" readingOrder="1"/>
      <protection hidden="1"/>
    </xf>
    <xf numFmtId="0" fontId="17" fillId="13" borderId="55" xfId="0" applyFont="1" applyFill="1" applyBorder="1" applyAlignment="1" applyProtection="1">
      <alignment horizontal="center" wrapText="1" readingOrder="1"/>
      <protection hidden="1"/>
    </xf>
    <xf numFmtId="0" fontId="17" fillId="13" borderId="49" xfId="0" applyFont="1" applyFill="1" applyBorder="1" applyAlignment="1" applyProtection="1">
      <alignment horizontal="center" wrapText="1" readingOrder="1"/>
      <protection hidden="1"/>
    </xf>
    <xf numFmtId="0" fontId="17" fillId="13" borderId="57" xfId="0" applyFont="1" applyFill="1" applyBorder="1" applyAlignment="1" applyProtection="1">
      <alignment horizontal="center" wrapText="1" readingOrder="1"/>
      <protection hidden="1"/>
    </xf>
    <xf numFmtId="0" fontId="57" fillId="0" borderId="13" xfId="0" applyFont="1" applyBorder="1" applyAlignment="1">
      <alignment horizontal="center" vertical="center" wrapText="1"/>
    </xf>
    <xf numFmtId="0" fontId="57" fillId="0" borderId="13" xfId="0" applyFont="1" applyBorder="1" applyAlignment="1">
      <alignment horizontal="center" vertical="center"/>
    </xf>
    <xf numFmtId="0" fontId="15" fillId="10" borderId="0" xfId="0" applyFont="1" applyFill="1" applyAlignment="1">
      <alignment horizontal="center" vertical="center" textRotation="90" wrapText="1" readingOrder="1"/>
    </xf>
    <xf numFmtId="0" fontId="17" fillId="12" borderId="65" xfId="0" applyFont="1" applyFill="1" applyBorder="1" applyAlignment="1" applyProtection="1">
      <alignment horizontal="center" wrapText="1" readingOrder="1"/>
      <protection hidden="1"/>
    </xf>
    <xf numFmtId="0" fontId="17" fillId="12" borderId="32" xfId="0" applyFont="1" applyFill="1" applyBorder="1" applyAlignment="1" applyProtection="1">
      <alignment horizontal="center" wrapText="1" readingOrder="1"/>
      <protection hidden="1"/>
    </xf>
    <xf numFmtId="0" fontId="17" fillId="12" borderId="58"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66" xfId="0" applyFont="1" applyFill="1" applyBorder="1" applyAlignment="1" applyProtection="1">
      <alignment horizontal="center" wrapText="1" readingOrder="1"/>
      <protection hidden="1"/>
    </xf>
    <xf numFmtId="0" fontId="17" fillId="12" borderId="56" xfId="0" applyFont="1" applyFill="1" applyBorder="1" applyAlignment="1" applyProtection="1">
      <alignment horizontal="center" wrapText="1" readingOrder="1"/>
      <protection hidden="1"/>
    </xf>
    <xf numFmtId="0" fontId="17" fillId="12" borderId="55" xfId="0" applyFont="1" applyFill="1" applyBorder="1" applyAlignment="1" applyProtection="1">
      <alignment horizontal="center" wrapText="1" readingOrder="1"/>
      <protection hidden="1"/>
    </xf>
    <xf numFmtId="0" fontId="17" fillId="12" borderId="49" xfId="0" applyFont="1" applyFill="1" applyBorder="1" applyAlignment="1" applyProtection="1">
      <alignment horizontal="center" wrapText="1" readingOrder="1"/>
      <protection hidden="1"/>
    </xf>
    <xf numFmtId="0" fontId="17" fillId="12" borderId="57" xfId="0" applyFont="1" applyFill="1" applyBorder="1" applyAlignment="1" applyProtection="1">
      <alignment horizontal="center" wrapText="1" readingOrder="1"/>
      <protection hidden="1"/>
    </xf>
    <xf numFmtId="0" fontId="17" fillId="11" borderId="58"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55" xfId="0" applyFont="1" applyFill="1" applyBorder="1" applyAlignment="1" applyProtection="1">
      <alignment horizontal="center" vertical="center" wrapText="1" readingOrder="1"/>
      <protection hidden="1"/>
    </xf>
    <xf numFmtId="0" fontId="17" fillId="11" borderId="49" xfId="0" applyFont="1" applyFill="1" applyBorder="1" applyAlignment="1" applyProtection="1">
      <alignment horizontal="center" vertical="center" wrapText="1" readingOrder="1"/>
      <protection hidden="1"/>
    </xf>
    <xf numFmtId="0" fontId="17" fillId="11" borderId="56" xfId="0" applyFont="1" applyFill="1" applyBorder="1" applyAlignment="1" applyProtection="1">
      <alignment horizontal="center" vertical="center" wrapText="1" readingOrder="1"/>
      <protection hidden="1"/>
    </xf>
    <xf numFmtId="0" fontId="17" fillId="11" borderId="57" xfId="0" applyFont="1" applyFill="1" applyBorder="1" applyAlignment="1" applyProtection="1">
      <alignment horizontal="center" vertical="center" wrapText="1" readingOrder="1"/>
      <protection hidden="1"/>
    </xf>
    <xf numFmtId="0" fontId="17" fillId="11" borderId="65" xfId="0" applyFont="1" applyFill="1" applyBorder="1" applyAlignment="1" applyProtection="1">
      <alignment horizontal="center" vertical="center" wrapText="1" readingOrder="1"/>
      <protection hidden="1"/>
    </xf>
    <xf numFmtId="0" fontId="17" fillId="11" borderId="32" xfId="0" applyFont="1" applyFill="1" applyBorder="1" applyAlignment="1" applyProtection="1">
      <alignment horizontal="center" vertical="center" wrapText="1" readingOrder="1"/>
      <protection hidden="1"/>
    </xf>
    <xf numFmtId="0" fontId="17" fillId="11" borderId="66" xfId="0" applyFont="1" applyFill="1" applyBorder="1" applyAlignment="1" applyProtection="1">
      <alignment horizontal="center" vertical="center" wrapText="1" readingOrder="1"/>
      <protection hidden="1"/>
    </xf>
    <xf numFmtId="0" fontId="15" fillId="10" borderId="0" xfId="0" applyFont="1" applyFill="1" applyAlignment="1">
      <alignment horizontal="center" vertical="center" wrapText="1" readingOrder="1"/>
    </xf>
    <xf numFmtId="0" fontId="18" fillId="12" borderId="8" xfId="0" applyFont="1" applyFill="1" applyBorder="1" applyAlignment="1">
      <alignment horizontal="center" vertical="center" wrapText="1" readingOrder="1"/>
    </xf>
    <xf numFmtId="0" fontId="18" fillId="12" borderId="9" xfId="0" applyFont="1" applyFill="1" applyBorder="1" applyAlignment="1">
      <alignment horizontal="center" vertical="center" wrapText="1" readingOrder="1"/>
    </xf>
    <xf numFmtId="0" fontId="18" fillId="12" borderId="10" xfId="0" applyFont="1" applyFill="1" applyBorder="1" applyAlignment="1">
      <alignment horizontal="center" vertical="center" wrapText="1" readingOrder="1"/>
    </xf>
    <xf numFmtId="0" fontId="18" fillId="12" borderId="11" xfId="0" applyFont="1" applyFill="1" applyBorder="1" applyAlignment="1">
      <alignment horizontal="center" vertical="center" wrapText="1" readingOrder="1"/>
    </xf>
    <xf numFmtId="0" fontId="18" fillId="12" borderId="0" xfId="0" applyFont="1" applyFill="1" applyAlignment="1">
      <alignment horizontal="center" vertical="center" wrapText="1" readingOrder="1"/>
    </xf>
    <xf numFmtId="0" fontId="18" fillId="12" borderId="12" xfId="0" applyFont="1" applyFill="1" applyBorder="1" applyAlignment="1">
      <alignment horizontal="center" vertical="center" wrapText="1" readingOrder="1"/>
    </xf>
    <xf numFmtId="0" fontId="18" fillId="11" borderId="8" xfId="0" applyFont="1" applyFill="1" applyBorder="1" applyAlignment="1">
      <alignment horizontal="center" vertical="center" wrapText="1" readingOrder="1"/>
    </xf>
    <xf numFmtId="0" fontId="18" fillId="11" borderId="9" xfId="0" applyFont="1" applyFill="1" applyBorder="1" applyAlignment="1">
      <alignment horizontal="center" vertical="center" wrapText="1" readingOrder="1"/>
    </xf>
    <xf numFmtId="0" fontId="18" fillId="11" borderId="10" xfId="0" applyFont="1" applyFill="1" applyBorder="1" applyAlignment="1">
      <alignment horizontal="center" vertical="center" wrapText="1" readingOrder="1"/>
    </xf>
    <xf numFmtId="0" fontId="18" fillId="11" borderId="11" xfId="0" applyFont="1" applyFill="1" applyBorder="1" applyAlignment="1">
      <alignment horizontal="center" vertical="center" wrapText="1" readingOrder="1"/>
    </xf>
    <xf numFmtId="0" fontId="18" fillId="11" borderId="0" xfId="0" applyFont="1" applyFill="1" applyAlignment="1">
      <alignment horizontal="center" vertical="center" wrapText="1" readingOrder="1"/>
    </xf>
    <xf numFmtId="0" fontId="18" fillId="11" borderId="12" xfId="0" applyFont="1" applyFill="1" applyBorder="1" applyAlignment="1">
      <alignment horizontal="center" vertical="center" wrapText="1" readingOrder="1"/>
    </xf>
    <xf numFmtId="0" fontId="18" fillId="13" borderId="8" xfId="0" applyFont="1" applyFill="1" applyBorder="1" applyAlignment="1">
      <alignment horizontal="center" vertical="center" wrapText="1" readingOrder="1"/>
    </xf>
    <xf numFmtId="0" fontId="18" fillId="13" borderId="9" xfId="0" applyFont="1" applyFill="1" applyBorder="1" applyAlignment="1">
      <alignment horizontal="center" vertical="center" wrapText="1" readingOrder="1"/>
    </xf>
    <xf numFmtId="0" fontId="18" fillId="13" borderId="10" xfId="0" applyFont="1" applyFill="1" applyBorder="1" applyAlignment="1">
      <alignment horizontal="center" vertical="center" wrapText="1" readingOrder="1"/>
    </xf>
    <xf numFmtId="0" fontId="18" fillId="13" borderId="11" xfId="0" applyFont="1" applyFill="1" applyBorder="1" applyAlignment="1">
      <alignment horizontal="center" vertical="center" wrapText="1" readingOrder="1"/>
    </xf>
    <xf numFmtId="0" fontId="18" fillId="13" borderId="0" xfId="0" applyFont="1" applyFill="1" applyAlignment="1">
      <alignment horizontal="center" vertical="center" wrapText="1" readingOrder="1"/>
    </xf>
    <xf numFmtId="0" fontId="18" fillId="13" borderId="12" xfId="0" applyFont="1" applyFill="1" applyBorder="1" applyAlignment="1">
      <alignment horizontal="center" vertical="center" wrapText="1" readingOrder="1"/>
    </xf>
    <xf numFmtId="0" fontId="18" fillId="5" borderId="8" xfId="0" applyFont="1" applyFill="1" applyBorder="1" applyAlignment="1">
      <alignment horizontal="center" vertical="center" wrapText="1" readingOrder="1"/>
    </xf>
    <xf numFmtId="0" fontId="18" fillId="5" borderId="9" xfId="0" applyFont="1" applyFill="1" applyBorder="1" applyAlignment="1">
      <alignment horizontal="center" vertical="center" wrapText="1" readingOrder="1"/>
    </xf>
    <xf numFmtId="0" fontId="18" fillId="5" borderId="10" xfId="0" applyFont="1" applyFill="1" applyBorder="1" applyAlignment="1">
      <alignment horizontal="center" vertical="center" wrapText="1" readingOrder="1"/>
    </xf>
    <xf numFmtId="0" fontId="18" fillId="5" borderId="11" xfId="0" applyFont="1" applyFill="1" applyBorder="1" applyAlignment="1">
      <alignment horizontal="center" vertical="center" wrapText="1" readingOrder="1"/>
    </xf>
    <xf numFmtId="0" fontId="18" fillId="5" borderId="0" xfId="0" applyFont="1" applyFill="1" applyAlignment="1">
      <alignment horizontal="center" vertical="center" wrapText="1" readingOrder="1"/>
    </xf>
    <xf numFmtId="0" fontId="18" fillId="5" borderId="12" xfId="0" applyFont="1" applyFill="1" applyBorder="1" applyAlignment="1">
      <alignment horizontal="center" vertical="center" wrapText="1" readingOrder="1"/>
    </xf>
    <xf numFmtId="0" fontId="55" fillId="0" borderId="13" xfId="0" applyFont="1" applyBorder="1" applyAlignment="1">
      <alignment horizontal="center" vertical="center" wrapText="1"/>
    </xf>
    <xf numFmtId="0" fontId="55" fillId="0" borderId="13" xfId="0" applyFont="1" applyBorder="1" applyAlignment="1">
      <alignment horizontal="center" vertical="center"/>
    </xf>
    <xf numFmtId="0" fontId="56" fillId="0" borderId="13" xfId="0" applyFont="1" applyBorder="1" applyAlignment="1">
      <alignment horizontal="center" vertical="center" wrapText="1"/>
    </xf>
    <xf numFmtId="0" fontId="56" fillId="0" borderId="13" xfId="0" applyFont="1" applyBorder="1" applyAlignment="1">
      <alignment horizontal="center" vertical="center"/>
    </xf>
    <xf numFmtId="0" fontId="58" fillId="0" borderId="13" xfId="0" applyFont="1" applyBorder="1" applyAlignment="1">
      <alignment horizontal="center" vertical="center" wrapText="1"/>
    </xf>
    <xf numFmtId="0" fontId="58" fillId="0" borderId="13" xfId="0" applyFont="1" applyBorder="1" applyAlignment="1">
      <alignment horizontal="center" vertical="center"/>
    </xf>
    <xf numFmtId="0" fontId="38" fillId="11" borderId="8" xfId="0" applyFont="1" applyFill="1" applyBorder="1" applyAlignment="1">
      <alignment horizontal="center" vertical="center" wrapText="1" readingOrder="1"/>
    </xf>
    <xf numFmtId="0" fontId="38" fillId="11" borderId="9" xfId="0" applyFont="1" applyFill="1" applyBorder="1" applyAlignment="1">
      <alignment horizontal="center" vertical="center" wrapText="1" readingOrder="1"/>
    </xf>
    <xf numFmtId="0" fontId="38" fillId="11" borderId="10" xfId="0" applyFont="1" applyFill="1" applyBorder="1" applyAlignment="1">
      <alignment horizontal="center" vertical="center" wrapText="1" readingOrder="1"/>
    </xf>
    <xf numFmtId="0" fontId="38" fillId="11" borderId="11" xfId="0" applyFont="1" applyFill="1" applyBorder="1" applyAlignment="1">
      <alignment horizontal="center" vertical="center" wrapText="1" readingOrder="1"/>
    </xf>
    <xf numFmtId="0" fontId="38" fillId="11" borderId="0" xfId="0" applyFont="1" applyFill="1" applyAlignment="1">
      <alignment horizontal="center" vertical="center" wrapText="1" readingOrder="1"/>
    </xf>
    <xf numFmtId="0" fontId="38" fillId="11" borderId="12" xfId="0" applyFont="1" applyFill="1" applyBorder="1" applyAlignment="1">
      <alignment horizontal="center" vertical="center" wrapText="1" readingOrder="1"/>
    </xf>
    <xf numFmtId="0" fontId="38" fillId="12" borderId="8" xfId="0" applyFont="1" applyFill="1" applyBorder="1" applyAlignment="1">
      <alignment horizontal="center" vertical="center" wrapText="1" readingOrder="1"/>
    </xf>
    <xf numFmtId="0" fontId="38" fillId="12" borderId="9" xfId="0" applyFont="1" applyFill="1" applyBorder="1" applyAlignment="1">
      <alignment horizontal="center" vertical="center" wrapText="1" readingOrder="1"/>
    </xf>
    <xf numFmtId="0" fontId="38" fillId="12" borderId="10" xfId="0" applyFont="1" applyFill="1" applyBorder="1" applyAlignment="1">
      <alignment horizontal="center" vertical="center" wrapText="1" readingOrder="1"/>
    </xf>
    <xf numFmtId="0" fontId="38" fillId="12" borderId="11" xfId="0" applyFont="1" applyFill="1" applyBorder="1" applyAlignment="1">
      <alignment horizontal="center" vertical="center" wrapText="1" readingOrder="1"/>
    </xf>
    <xf numFmtId="0" fontId="38" fillId="12" borderId="0" xfId="0" applyFont="1" applyFill="1" applyAlignment="1">
      <alignment horizontal="center" vertical="center" wrapText="1" readingOrder="1"/>
    </xf>
    <xf numFmtId="0" fontId="38" fillId="12" borderId="12" xfId="0" applyFont="1" applyFill="1" applyBorder="1" applyAlignment="1">
      <alignment horizontal="center" vertical="center" wrapText="1" readingOrder="1"/>
    </xf>
    <xf numFmtId="0" fontId="37" fillId="0" borderId="0" xfId="0" applyFont="1" applyAlignment="1">
      <alignment horizontal="center" vertical="center" wrapText="1"/>
    </xf>
    <xf numFmtId="0" fontId="19" fillId="0" borderId="0" xfId="0" applyFont="1" applyAlignment="1">
      <alignment horizontal="center" vertical="center" wrapText="1"/>
    </xf>
    <xf numFmtId="0" fontId="38" fillId="5" borderId="8" xfId="0" applyFont="1" applyFill="1" applyBorder="1" applyAlignment="1">
      <alignment horizontal="center" vertical="center" wrapText="1" readingOrder="1"/>
    </xf>
    <xf numFmtId="0" fontId="38" fillId="5" borderId="9" xfId="0" applyFont="1" applyFill="1" applyBorder="1" applyAlignment="1">
      <alignment horizontal="center" vertical="center" wrapText="1" readingOrder="1"/>
    </xf>
    <xf numFmtId="0" fontId="38" fillId="5" borderId="10" xfId="0" applyFont="1" applyFill="1" applyBorder="1" applyAlignment="1">
      <alignment horizontal="center" vertical="center" wrapText="1" readingOrder="1"/>
    </xf>
    <xf numFmtId="0" fontId="38" fillId="5" borderId="11" xfId="0" applyFont="1" applyFill="1" applyBorder="1" applyAlignment="1">
      <alignment horizontal="center" vertical="center" wrapText="1" readingOrder="1"/>
    </xf>
    <xf numFmtId="0" fontId="38" fillId="5" borderId="0" xfId="0" applyFont="1" applyFill="1" applyAlignment="1">
      <alignment horizontal="center" vertical="center" wrapText="1" readingOrder="1"/>
    </xf>
    <xf numFmtId="0" fontId="38" fillId="5" borderId="12" xfId="0" applyFont="1" applyFill="1" applyBorder="1" applyAlignment="1">
      <alignment horizontal="center" vertical="center" wrapText="1" readingOrder="1"/>
    </xf>
    <xf numFmtId="0" fontId="38" fillId="13" borderId="8" xfId="0" applyFont="1" applyFill="1" applyBorder="1" applyAlignment="1">
      <alignment horizontal="center" vertical="center" wrapText="1" readingOrder="1"/>
    </xf>
    <xf numFmtId="0" fontId="38" fillId="13" borderId="9" xfId="0" applyFont="1" applyFill="1" applyBorder="1" applyAlignment="1">
      <alignment horizontal="center" vertical="center" wrapText="1" readingOrder="1"/>
    </xf>
    <xf numFmtId="0" fontId="38" fillId="13" borderId="10" xfId="0" applyFont="1" applyFill="1" applyBorder="1" applyAlignment="1">
      <alignment horizontal="center" vertical="center" wrapText="1" readingOrder="1"/>
    </xf>
    <xf numFmtId="0" fontId="38" fillId="13" borderId="11" xfId="0" applyFont="1" applyFill="1" applyBorder="1" applyAlignment="1">
      <alignment horizontal="center" vertical="center" wrapText="1" readingOrder="1"/>
    </xf>
    <xf numFmtId="0" fontId="38" fillId="13" borderId="0" xfId="0" applyFont="1" applyFill="1" applyAlignment="1">
      <alignment horizontal="center" vertical="center" wrapText="1" readingOrder="1"/>
    </xf>
    <xf numFmtId="0" fontId="38" fillId="13" borderId="12" xfId="0" applyFont="1" applyFill="1" applyBorder="1" applyAlignment="1">
      <alignment horizontal="center" vertical="center" wrapText="1" readingOrder="1"/>
    </xf>
    <xf numFmtId="0" fontId="21" fillId="0" borderId="0" xfId="0" applyFont="1" applyAlignment="1">
      <alignment horizontal="center" vertical="center"/>
    </xf>
    <xf numFmtId="0" fontId="40" fillId="0" borderId="0" xfId="0" applyFont="1" applyAlignment="1">
      <alignment horizontal="center" vertical="center"/>
    </xf>
    <xf numFmtId="0" fontId="36" fillId="15" borderId="15" xfId="0" applyFont="1" applyFill="1" applyBorder="1" applyAlignment="1">
      <alignment horizontal="center" vertical="center" wrapText="1" readingOrder="1"/>
    </xf>
    <xf numFmtId="0" fontId="36" fillId="15" borderId="16" xfId="0" applyFont="1" applyFill="1" applyBorder="1" applyAlignment="1">
      <alignment horizontal="center" vertical="center" wrapText="1" readingOrder="1"/>
    </xf>
    <xf numFmtId="0" fontId="36" fillId="15" borderId="27" xfId="0" applyFont="1" applyFill="1" applyBorder="1" applyAlignment="1">
      <alignment horizontal="center" vertical="center" wrapText="1" readingOrder="1"/>
    </xf>
    <xf numFmtId="0" fontId="31" fillId="3" borderId="0" xfId="0" applyFont="1" applyFill="1" applyAlignment="1">
      <alignment horizontal="justify" vertical="center" wrapText="1"/>
    </xf>
    <xf numFmtId="0" fontId="33" fillId="15" borderId="24" xfId="0" applyFont="1" applyFill="1" applyBorder="1" applyAlignment="1">
      <alignment horizontal="center" vertical="center" wrapText="1" readingOrder="1"/>
    </xf>
    <xf numFmtId="0" fontId="33" fillId="15" borderId="25" xfId="0" applyFont="1" applyFill="1" applyBorder="1" applyAlignment="1">
      <alignment horizontal="center" vertical="center" wrapText="1" readingOrder="1"/>
    </xf>
    <xf numFmtId="0" fontId="33" fillId="3" borderId="22" xfId="0" applyFont="1" applyFill="1" applyBorder="1" applyAlignment="1">
      <alignment horizontal="center" vertical="center" wrapText="1" readingOrder="1"/>
    </xf>
    <xf numFmtId="0" fontId="33" fillId="3" borderId="17" xfId="0" applyFont="1" applyFill="1" applyBorder="1" applyAlignment="1">
      <alignment horizontal="center" vertical="center" wrapText="1" readingOrder="1"/>
    </xf>
    <xf numFmtId="0" fontId="33" fillId="3" borderId="14"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3" fillId="3" borderId="19" xfId="0" applyFont="1" applyFill="1" applyBorder="1" applyAlignment="1">
      <alignment horizontal="center" vertical="center" wrapText="1" readingOrder="1"/>
    </xf>
    <xf numFmtId="0" fontId="33" fillId="3" borderId="20" xfId="0" applyFont="1" applyFill="1" applyBorder="1" applyAlignment="1">
      <alignment horizontal="center" vertical="center" wrapText="1" readingOrder="1"/>
    </xf>
    <xf numFmtId="0" fontId="53" fillId="3" borderId="77" xfId="0" applyFont="1" applyFill="1" applyBorder="1" applyAlignment="1">
      <alignment horizontal="center" vertical="center" wrapText="1"/>
    </xf>
    <xf numFmtId="0" fontId="53" fillId="3" borderId="78"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3" fillId="3" borderId="18" xfId="0" applyFont="1" applyFill="1" applyBorder="1" applyAlignment="1">
      <alignment horizontal="center" vertical="center" wrapText="1"/>
    </xf>
    <xf numFmtId="0" fontId="59" fillId="0" borderId="28" xfId="0" applyFont="1" applyBorder="1" applyAlignment="1">
      <alignment horizontal="center" vertical="center"/>
    </xf>
    <xf numFmtId="0" fontId="59" fillId="0" borderId="69" xfId="0" applyFont="1" applyBorder="1" applyAlignment="1">
      <alignment horizontal="center" vertical="center"/>
    </xf>
    <xf numFmtId="0" fontId="59" fillId="0" borderId="70" xfId="0" applyFont="1" applyBorder="1" applyAlignment="1">
      <alignment horizontal="center" vertical="center"/>
    </xf>
    <xf numFmtId="0" fontId="59" fillId="0" borderId="29" xfId="0" applyFont="1" applyBorder="1" applyAlignment="1">
      <alignment horizontal="center" vertical="center"/>
    </xf>
    <xf numFmtId="0" fontId="59" fillId="0" borderId="30" xfId="0" applyFont="1" applyBorder="1" applyAlignment="1">
      <alignment horizontal="center" vertical="center"/>
    </xf>
    <xf numFmtId="0" fontId="59" fillId="0" borderId="71" xfId="0" applyFont="1" applyBorder="1" applyAlignment="1">
      <alignment horizontal="center" vertical="center" wrapText="1"/>
    </xf>
    <xf numFmtId="0" fontId="59" fillId="0" borderId="72" xfId="0" applyFont="1" applyBorder="1" applyAlignment="1">
      <alignment horizontal="center" vertical="center" wrapText="1"/>
    </xf>
    <xf numFmtId="0" fontId="59" fillId="0" borderId="73" xfId="0" applyFont="1" applyBorder="1" applyAlignment="1">
      <alignment horizontal="center" vertical="center" wrapText="1"/>
    </xf>
    <xf numFmtId="0" fontId="59" fillId="0" borderId="74" xfId="0" applyFont="1" applyBorder="1" applyAlignment="1">
      <alignment horizontal="center" vertical="center" wrapText="1"/>
    </xf>
    <xf numFmtId="0" fontId="59" fillId="0" borderId="75" xfId="0" applyFont="1" applyBorder="1" applyAlignment="1">
      <alignment horizontal="center" vertical="center" wrapText="1"/>
    </xf>
    <xf numFmtId="0" fontId="54" fillId="24" borderId="15" xfId="0" applyFont="1" applyFill="1" applyBorder="1" applyAlignment="1">
      <alignment horizontal="center" vertical="center" wrapText="1"/>
    </xf>
    <xf numFmtId="0" fontId="54" fillId="24" borderId="16" xfId="0" applyFont="1" applyFill="1" applyBorder="1" applyAlignment="1">
      <alignment horizontal="center" vertical="center" wrapText="1"/>
    </xf>
    <xf numFmtId="0" fontId="54" fillId="24" borderId="27" xfId="0" applyFont="1" applyFill="1" applyBorder="1" applyAlignment="1">
      <alignment horizontal="center" vertical="center" wrapText="1"/>
    </xf>
    <xf numFmtId="0" fontId="54" fillId="25" borderId="15" xfId="0" applyFont="1" applyFill="1" applyBorder="1" applyAlignment="1">
      <alignment horizontal="center" vertical="center" wrapText="1"/>
    </xf>
    <xf numFmtId="0" fontId="54" fillId="25" borderId="27" xfId="0" applyFont="1" applyFill="1" applyBorder="1" applyAlignment="1">
      <alignment horizontal="center" vertical="center" wrapText="1"/>
    </xf>
    <xf numFmtId="0" fontId="54" fillId="25" borderId="24" xfId="0" applyFont="1" applyFill="1" applyBorder="1" applyAlignment="1">
      <alignment horizontal="center" vertical="center" wrapText="1"/>
    </xf>
    <xf numFmtId="0" fontId="54" fillId="25" borderId="25" xfId="0" applyFont="1" applyFill="1" applyBorder="1" applyAlignment="1">
      <alignment horizontal="center" vertical="center" wrapText="1"/>
    </xf>
    <xf numFmtId="0" fontId="54" fillId="25" borderId="26" xfId="0" applyFont="1" applyFill="1" applyBorder="1" applyAlignment="1">
      <alignment horizontal="center" vertical="center" wrapText="1"/>
    </xf>
    <xf numFmtId="0" fontId="53" fillId="3" borderId="48" xfId="0" applyFont="1" applyFill="1" applyBorder="1" applyAlignment="1">
      <alignment horizontal="center" vertical="center" wrapText="1"/>
    </xf>
    <xf numFmtId="0" fontId="53" fillId="3" borderId="57" xfId="0" applyFont="1" applyFill="1" applyBorder="1" applyAlignment="1">
      <alignment horizontal="center" vertical="center" wrapText="1"/>
    </xf>
    <xf numFmtId="0" fontId="53" fillId="0" borderId="70" xfId="0" applyFont="1" applyBorder="1" applyAlignment="1">
      <alignment horizontal="center"/>
    </xf>
    <xf numFmtId="0" fontId="53" fillId="0" borderId="29" xfId="0" applyFont="1" applyBorder="1" applyAlignment="1">
      <alignment horizontal="center"/>
    </xf>
    <xf numFmtId="0" fontId="53" fillId="0" borderId="30" xfId="0" applyFont="1" applyBorder="1" applyAlignment="1">
      <alignment horizontal="center"/>
    </xf>
    <xf numFmtId="0" fontId="53" fillId="3" borderId="71" xfId="0" applyFont="1" applyFill="1" applyBorder="1" applyAlignment="1">
      <alignment horizontal="center" vertical="center" wrapText="1"/>
    </xf>
    <xf numFmtId="0" fontId="53" fillId="3" borderId="72" xfId="0" applyFont="1" applyFill="1" applyBorder="1" applyAlignment="1">
      <alignment horizontal="center" vertical="center" wrapText="1"/>
    </xf>
    <xf numFmtId="0" fontId="53" fillId="3" borderId="20" xfId="0" applyFont="1" applyFill="1" applyBorder="1" applyAlignment="1">
      <alignment horizontal="center" vertical="center" wrapText="1"/>
    </xf>
    <xf numFmtId="0" fontId="53" fillId="3" borderId="21" xfId="0" applyFont="1" applyFill="1" applyBorder="1" applyAlignment="1">
      <alignment horizontal="center" vertical="center" wrapText="1"/>
    </xf>
    <xf numFmtId="0" fontId="53" fillId="0" borderId="0" xfId="0" applyFont="1" applyFill="1"/>
    <xf numFmtId="0" fontId="54" fillId="0" borderId="0" xfId="0" applyFont="1" applyFill="1" applyAlignment="1">
      <alignment horizontal="center" vertical="center"/>
    </xf>
    <xf numFmtId="0" fontId="59" fillId="0" borderId="0" xfId="0" applyFont="1" applyFill="1" applyAlignment="1">
      <alignment horizontal="center" vertical="center"/>
    </xf>
    <xf numFmtId="0" fontId="53" fillId="0" borderId="0" xfId="0" applyFont="1" applyFill="1" applyAlignment="1">
      <alignmen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65">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40</xdr:col>
      <xdr:colOff>1035844</xdr:colOff>
      <xdr:row>1</xdr:row>
      <xdr:rowOff>57831</xdr:rowOff>
    </xdr:from>
    <xdr:to>
      <xdr:col>41</xdr:col>
      <xdr:colOff>680357</xdr:colOff>
      <xdr:row>2</xdr:row>
      <xdr:rowOff>255864</xdr:rowOff>
    </xdr:to>
    <xdr:pic>
      <xdr:nvPicPr>
        <xdr:cNvPr id="3" name="Imagen 8">
          <a:extLst>
            <a:ext uri="{FF2B5EF4-FFF2-40B4-BE49-F238E27FC236}">
              <a16:creationId xmlns:a16="http://schemas.microsoft.com/office/drawing/2014/main" id="{6A8C34B4-3F8A-44C5-836C-88E9B2386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2058" y="221117"/>
          <a:ext cx="882763" cy="40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147CC552-89A1-45B6-B1E0-926ACE5634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64" dataDxfId="463">
  <autoFilter ref="B209:C219" xr:uid="{00000000-0009-0000-0100-000001000000}"/>
  <tableColumns count="2">
    <tableColumn id="1" xr3:uid="{00000000-0010-0000-0000-000001000000}" name="Criterios" dataDxfId="462"/>
    <tableColumn id="2" xr3:uid="{00000000-0010-0000-0000-000002000000}" name="Subcriterios" dataDxfId="46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H45"/>
  <sheetViews>
    <sheetView topLeftCell="B31" zoomScale="110" zoomScaleNormal="110" workbookViewId="0">
      <selection activeCell="B9" sqref="B9:H10"/>
    </sheetView>
  </sheetViews>
  <sheetFormatPr baseColWidth="10" defaultRowHeight="15" x14ac:dyDescent="0.25"/>
  <cols>
    <col min="1" max="1" width="2.85546875" style="36" customWidth="1"/>
    <col min="2" max="3" width="24.7109375" style="36" customWidth="1"/>
    <col min="4" max="4" width="16" style="36" customWidth="1"/>
    <col min="5" max="5" width="24.7109375" style="36" customWidth="1"/>
    <col min="6" max="6" width="27.7109375" style="36" customWidth="1"/>
    <col min="7" max="8" width="24.7109375" style="36" customWidth="1"/>
    <col min="9" max="16384" width="11.42578125" style="36"/>
  </cols>
  <sheetData>
    <row r="1" spans="2:8" ht="15.75" thickBot="1" x14ac:dyDescent="0.3"/>
    <row r="2" spans="2:8" ht="18" x14ac:dyDescent="0.25">
      <c r="B2" s="343" t="s">
        <v>156</v>
      </c>
      <c r="C2" s="344"/>
      <c r="D2" s="344"/>
      <c r="E2" s="344"/>
      <c r="F2" s="344"/>
      <c r="G2" s="344"/>
      <c r="H2" s="345"/>
    </row>
    <row r="3" spans="2:8" x14ac:dyDescent="0.25">
      <c r="B3" s="37"/>
      <c r="C3" s="38"/>
      <c r="D3" s="38"/>
      <c r="E3" s="38"/>
      <c r="F3" s="38"/>
      <c r="G3" s="38"/>
      <c r="H3" s="39"/>
    </row>
    <row r="4" spans="2:8" ht="63" customHeight="1" x14ac:dyDescent="0.25">
      <c r="B4" s="346" t="s">
        <v>193</v>
      </c>
      <c r="C4" s="347"/>
      <c r="D4" s="347"/>
      <c r="E4" s="347"/>
      <c r="F4" s="347"/>
      <c r="G4" s="347"/>
      <c r="H4" s="348"/>
    </row>
    <row r="5" spans="2:8" ht="63" customHeight="1" x14ac:dyDescent="0.25">
      <c r="B5" s="349"/>
      <c r="C5" s="350"/>
      <c r="D5" s="350"/>
      <c r="E5" s="350"/>
      <c r="F5" s="350"/>
      <c r="G5" s="350"/>
      <c r="H5" s="351"/>
    </row>
    <row r="6" spans="2:8" ht="16.5" x14ac:dyDescent="0.25">
      <c r="B6" s="352" t="s">
        <v>154</v>
      </c>
      <c r="C6" s="353"/>
      <c r="D6" s="353"/>
      <c r="E6" s="353"/>
      <c r="F6" s="353"/>
      <c r="G6" s="353"/>
      <c r="H6" s="354"/>
    </row>
    <row r="7" spans="2:8" ht="95.25" customHeight="1" x14ac:dyDescent="0.25">
      <c r="B7" s="362" t="s">
        <v>157</v>
      </c>
      <c r="C7" s="363"/>
      <c r="D7" s="363"/>
      <c r="E7" s="363"/>
      <c r="F7" s="363"/>
      <c r="G7" s="363"/>
      <c r="H7" s="364"/>
    </row>
    <row r="8" spans="2:8" ht="16.5" x14ac:dyDescent="0.25">
      <c r="B8" s="73"/>
      <c r="C8" s="74"/>
      <c r="D8" s="74"/>
      <c r="E8" s="74"/>
      <c r="F8" s="74"/>
      <c r="G8" s="74"/>
      <c r="H8" s="75"/>
    </row>
    <row r="9" spans="2:8" ht="16.5" customHeight="1" x14ac:dyDescent="0.25">
      <c r="B9" s="355" t="s">
        <v>186</v>
      </c>
      <c r="C9" s="356"/>
      <c r="D9" s="356"/>
      <c r="E9" s="356"/>
      <c r="F9" s="356"/>
      <c r="G9" s="356"/>
      <c r="H9" s="357"/>
    </row>
    <row r="10" spans="2:8" ht="44.25" customHeight="1" x14ac:dyDescent="0.25">
      <c r="B10" s="355"/>
      <c r="C10" s="356"/>
      <c r="D10" s="356"/>
      <c r="E10" s="356"/>
      <c r="F10" s="356"/>
      <c r="G10" s="356"/>
      <c r="H10" s="357"/>
    </row>
    <row r="11" spans="2:8" ht="15.75" thickBot="1" x14ac:dyDescent="0.3">
      <c r="B11" s="62"/>
      <c r="C11" s="65"/>
      <c r="D11" s="70"/>
      <c r="E11" s="71"/>
      <c r="F11" s="71"/>
      <c r="G11" s="72"/>
      <c r="H11" s="66"/>
    </row>
    <row r="12" spans="2:8" ht="15.75" thickTop="1" x14ac:dyDescent="0.25">
      <c r="B12" s="62"/>
      <c r="C12" s="358" t="s">
        <v>155</v>
      </c>
      <c r="D12" s="359"/>
      <c r="E12" s="360" t="s">
        <v>187</v>
      </c>
      <c r="F12" s="361"/>
      <c r="G12" s="65"/>
      <c r="H12" s="66"/>
    </row>
    <row r="13" spans="2:8" ht="35.25" customHeight="1" x14ac:dyDescent="0.25">
      <c r="B13" s="62"/>
      <c r="C13" s="365" t="s">
        <v>184</v>
      </c>
      <c r="D13" s="366"/>
      <c r="E13" s="367" t="s">
        <v>185</v>
      </c>
      <c r="F13" s="368"/>
      <c r="G13" s="65"/>
      <c r="H13" s="66"/>
    </row>
    <row r="14" spans="2:8" ht="69.75" customHeight="1" x14ac:dyDescent="0.25">
      <c r="B14" s="62"/>
      <c r="C14" s="365" t="s">
        <v>204</v>
      </c>
      <c r="D14" s="366"/>
      <c r="E14" s="367" t="s">
        <v>205</v>
      </c>
      <c r="F14" s="368"/>
      <c r="G14" s="65"/>
      <c r="H14" s="66"/>
    </row>
    <row r="15" spans="2:8" ht="34.5" customHeight="1" x14ac:dyDescent="0.25">
      <c r="B15" s="62"/>
      <c r="C15" s="369" t="s">
        <v>1</v>
      </c>
      <c r="D15" s="370"/>
      <c r="E15" s="371" t="s">
        <v>194</v>
      </c>
      <c r="F15" s="372"/>
      <c r="G15" s="65"/>
      <c r="H15" s="66"/>
    </row>
    <row r="16" spans="2:8" ht="28.5" customHeight="1" x14ac:dyDescent="0.25">
      <c r="B16" s="62"/>
      <c r="C16" s="369" t="s">
        <v>39</v>
      </c>
      <c r="D16" s="370"/>
      <c r="E16" s="371" t="s">
        <v>195</v>
      </c>
      <c r="F16" s="372"/>
      <c r="G16" s="65"/>
      <c r="H16" s="66"/>
    </row>
    <row r="17" spans="2:8" ht="72.75" customHeight="1" x14ac:dyDescent="0.25">
      <c r="B17" s="62"/>
      <c r="C17" s="369" t="s">
        <v>0</v>
      </c>
      <c r="D17" s="370"/>
      <c r="E17" s="371" t="s">
        <v>196</v>
      </c>
      <c r="F17" s="372"/>
      <c r="G17" s="65"/>
      <c r="H17" s="66"/>
    </row>
    <row r="18" spans="2:8" ht="64.5" customHeight="1" x14ac:dyDescent="0.25">
      <c r="B18" s="62"/>
      <c r="C18" s="369" t="s">
        <v>45</v>
      </c>
      <c r="D18" s="370"/>
      <c r="E18" s="371" t="s">
        <v>159</v>
      </c>
      <c r="F18" s="372"/>
      <c r="G18" s="65"/>
      <c r="H18" s="66"/>
    </row>
    <row r="19" spans="2:8" ht="39.75" customHeight="1" x14ac:dyDescent="0.25">
      <c r="B19" s="62"/>
      <c r="C19" s="378" t="s">
        <v>202</v>
      </c>
      <c r="D19" s="379"/>
      <c r="E19" s="376" t="s">
        <v>206</v>
      </c>
      <c r="F19" s="377"/>
      <c r="G19" s="65"/>
      <c r="H19" s="66"/>
    </row>
    <row r="20" spans="2:8" ht="39.75" customHeight="1" x14ac:dyDescent="0.25">
      <c r="B20" s="62"/>
      <c r="C20" s="120" t="s">
        <v>203</v>
      </c>
      <c r="D20" s="121"/>
      <c r="E20" s="376" t="s">
        <v>219</v>
      </c>
      <c r="F20" s="377"/>
      <c r="G20" s="65"/>
      <c r="H20" s="66"/>
    </row>
    <row r="21" spans="2:8" ht="71.25" customHeight="1" x14ac:dyDescent="0.25">
      <c r="B21" s="62"/>
      <c r="C21" s="369" t="s">
        <v>158</v>
      </c>
      <c r="D21" s="370"/>
      <c r="E21" s="371" t="s">
        <v>160</v>
      </c>
      <c r="F21" s="372"/>
      <c r="G21" s="65"/>
      <c r="H21" s="66"/>
    </row>
    <row r="22" spans="2:8" ht="39.75" customHeight="1" x14ac:dyDescent="0.25">
      <c r="B22" s="62"/>
      <c r="C22" s="378" t="s">
        <v>31</v>
      </c>
      <c r="D22" s="379"/>
      <c r="E22" s="376" t="s">
        <v>207</v>
      </c>
      <c r="F22" s="377"/>
      <c r="G22" s="65"/>
      <c r="H22" s="66"/>
    </row>
    <row r="23" spans="2:8" ht="55.5" customHeight="1" x14ac:dyDescent="0.25">
      <c r="B23" s="62"/>
      <c r="C23" s="378" t="s">
        <v>161</v>
      </c>
      <c r="D23" s="379"/>
      <c r="E23" s="371" t="s">
        <v>162</v>
      </c>
      <c r="F23" s="372"/>
      <c r="G23" s="65"/>
      <c r="H23" s="66"/>
    </row>
    <row r="24" spans="2:8" ht="42" customHeight="1" x14ac:dyDescent="0.25">
      <c r="B24" s="62"/>
      <c r="C24" s="378" t="s">
        <v>43</v>
      </c>
      <c r="D24" s="379"/>
      <c r="E24" s="371" t="s">
        <v>163</v>
      </c>
      <c r="F24" s="372"/>
      <c r="G24" s="65"/>
      <c r="H24" s="66"/>
    </row>
    <row r="25" spans="2:8" ht="59.25" customHeight="1" x14ac:dyDescent="0.25">
      <c r="B25" s="62"/>
      <c r="C25" s="378" t="s">
        <v>153</v>
      </c>
      <c r="D25" s="379"/>
      <c r="E25" s="371" t="s">
        <v>164</v>
      </c>
      <c r="F25" s="372"/>
      <c r="G25" s="65"/>
      <c r="H25" s="66"/>
    </row>
    <row r="26" spans="2:8" ht="23.25" customHeight="1" x14ac:dyDescent="0.25">
      <c r="B26" s="62"/>
      <c r="C26" s="378" t="s">
        <v>10</v>
      </c>
      <c r="D26" s="379"/>
      <c r="E26" s="371" t="s">
        <v>165</v>
      </c>
      <c r="F26" s="372"/>
      <c r="G26" s="65"/>
      <c r="H26" s="66"/>
    </row>
    <row r="27" spans="2:8" ht="30.75" customHeight="1" x14ac:dyDescent="0.25">
      <c r="B27" s="62"/>
      <c r="C27" s="378" t="s">
        <v>169</v>
      </c>
      <c r="D27" s="379"/>
      <c r="E27" s="371" t="s">
        <v>166</v>
      </c>
      <c r="F27" s="372"/>
      <c r="G27" s="65"/>
      <c r="H27" s="66"/>
    </row>
    <row r="28" spans="2:8" ht="35.25" customHeight="1" x14ac:dyDescent="0.25">
      <c r="B28" s="62"/>
      <c r="C28" s="378" t="s">
        <v>170</v>
      </c>
      <c r="D28" s="379"/>
      <c r="E28" s="371" t="s">
        <v>167</v>
      </c>
      <c r="F28" s="372"/>
      <c r="G28" s="65"/>
      <c r="H28" s="66"/>
    </row>
    <row r="29" spans="2:8" ht="33" customHeight="1" x14ac:dyDescent="0.25">
      <c r="B29" s="62"/>
      <c r="C29" s="378" t="s">
        <v>170</v>
      </c>
      <c r="D29" s="379"/>
      <c r="E29" s="371" t="s">
        <v>167</v>
      </c>
      <c r="F29" s="372"/>
      <c r="G29" s="65"/>
      <c r="H29" s="66"/>
    </row>
    <row r="30" spans="2:8" ht="30" customHeight="1" x14ac:dyDescent="0.25">
      <c r="B30" s="62"/>
      <c r="C30" s="378" t="s">
        <v>171</v>
      </c>
      <c r="D30" s="379"/>
      <c r="E30" s="371" t="s">
        <v>168</v>
      </c>
      <c r="F30" s="372"/>
      <c r="G30" s="65"/>
      <c r="H30" s="66"/>
    </row>
    <row r="31" spans="2:8" ht="35.25" customHeight="1" x14ac:dyDescent="0.25">
      <c r="B31" s="62"/>
      <c r="C31" s="378" t="s">
        <v>172</v>
      </c>
      <c r="D31" s="379"/>
      <c r="E31" s="371" t="s">
        <v>173</v>
      </c>
      <c r="F31" s="372"/>
      <c r="G31" s="65"/>
      <c r="H31" s="66"/>
    </row>
    <row r="32" spans="2:8" ht="31.5" customHeight="1" x14ac:dyDescent="0.25">
      <c r="B32" s="62"/>
      <c r="C32" s="378" t="s">
        <v>174</v>
      </c>
      <c r="D32" s="379"/>
      <c r="E32" s="371" t="s">
        <v>175</v>
      </c>
      <c r="F32" s="372"/>
      <c r="G32" s="65"/>
      <c r="H32" s="66"/>
    </row>
    <row r="33" spans="2:8" ht="35.25" customHeight="1" x14ac:dyDescent="0.25">
      <c r="B33" s="62"/>
      <c r="C33" s="378" t="s">
        <v>176</v>
      </c>
      <c r="D33" s="379"/>
      <c r="E33" s="371" t="s">
        <v>177</v>
      </c>
      <c r="F33" s="372"/>
      <c r="G33" s="65"/>
      <c r="H33" s="66"/>
    </row>
    <row r="34" spans="2:8" ht="59.25" customHeight="1" x14ac:dyDescent="0.25">
      <c r="B34" s="62"/>
      <c r="C34" s="378" t="s">
        <v>178</v>
      </c>
      <c r="D34" s="379"/>
      <c r="E34" s="371" t="s">
        <v>179</v>
      </c>
      <c r="F34" s="372"/>
      <c r="G34" s="65"/>
      <c r="H34" s="66"/>
    </row>
    <row r="35" spans="2:8" ht="29.25" customHeight="1" x14ac:dyDescent="0.25">
      <c r="B35" s="62"/>
      <c r="C35" s="378" t="s">
        <v>27</v>
      </c>
      <c r="D35" s="379"/>
      <c r="E35" s="371" t="s">
        <v>180</v>
      </c>
      <c r="F35" s="372"/>
      <c r="G35" s="65"/>
      <c r="H35" s="66"/>
    </row>
    <row r="36" spans="2:8" ht="82.5" customHeight="1" x14ac:dyDescent="0.25">
      <c r="B36" s="62"/>
      <c r="C36" s="378" t="s">
        <v>182</v>
      </c>
      <c r="D36" s="379"/>
      <c r="E36" s="371" t="s">
        <v>181</v>
      </c>
      <c r="F36" s="372"/>
      <c r="G36" s="65"/>
      <c r="H36" s="66"/>
    </row>
    <row r="37" spans="2:8" ht="46.5" customHeight="1" x14ac:dyDescent="0.25">
      <c r="B37" s="62"/>
      <c r="C37" s="378" t="s">
        <v>36</v>
      </c>
      <c r="D37" s="379"/>
      <c r="E37" s="371" t="s">
        <v>183</v>
      </c>
      <c r="F37" s="372"/>
      <c r="G37" s="65"/>
      <c r="H37" s="66"/>
    </row>
    <row r="38" spans="2:8" ht="6.75" customHeight="1" thickBot="1" x14ac:dyDescent="0.3">
      <c r="B38" s="62"/>
      <c r="C38" s="380"/>
      <c r="D38" s="381"/>
      <c r="E38" s="382"/>
      <c r="F38" s="383"/>
      <c r="G38" s="65"/>
      <c r="H38" s="66"/>
    </row>
    <row r="39" spans="2:8" ht="15.75" thickTop="1" x14ac:dyDescent="0.25">
      <c r="B39" s="62"/>
      <c r="C39" s="63"/>
      <c r="D39" s="63"/>
      <c r="E39" s="64"/>
      <c r="F39" s="64"/>
      <c r="G39" s="65"/>
      <c r="H39" s="66"/>
    </row>
    <row r="40" spans="2:8" ht="21" customHeight="1" x14ac:dyDescent="0.25">
      <c r="B40" s="373" t="s">
        <v>188</v>
      </c>
      <c r="C40" s="374"/>
      <c r="D40" s="374"/>
      <c r="E40" s="374"/>
      <c r="F40" s="374"/>
      <c r="G40" s="374"/>
      <c r="H40" s="375"/>
    </row>
    <row r="41" spans="2:8" ht="20.25" customHeight="1" x14ac:dyDescent="0.25">
      <c r="B41" s="373" t="s">
        <v>189</v>
      </c>
      <c r="C41" s="374"/>
      <c r="D41" s="374"/>
      <c r="E41" s="374"/>
      <c r="F41" s="374"/>
      <c r="G41" s="374"/>
      <c r="H41" s="375"/>
    </row>
    <row r="42" spans="2:8" ht="20.25" customHeight="1" x14ac:dyDescent="0.25">
      <c r="B42" s="373" t="s">
        <v>190</v>
      </c>
      <c r="C42" s="374"/>
      <c r="D42" s="374"/>
      <c r="E42" s="374"/>
      <c r="F42" s="374"/>
      <c r="G42" s="374"/>
      <c r="H42" s="375"/>
    </row>
    <row r="43" spans="2:8" ht="20.25" customHeight="1" x14ac:dyDescent="0.25">
      <c r="B43" s="373" t="s">
        <v>191</v>
      </c>
      <c r="C43" s="374"/>
      <c r="D43" s="374"/>
      <c r="E43" s="374"/>
      <c r="F43" s="374"/>
      <c r="G43" s="374"/>
      <c r="H43" s="375"/>
    </row>
    <row r="44" spans="2:8" x14ac:dyDescent="0.25">
      <c r="B44" s="373" t="s">
        <v>192</v>
      </c>
      <c r="C44" s="374"/>
      <c r="D44" s="374"/>
      <c r="E44" s="374"/>
      <c r="F44" s="374"/>
      <c r="G44" s="374"/>
      <c r="H44" s="375"/>
    </row>
    <row r="45" spans="2:8" ht="15.75" thickBot="1" x14ac:dyDescent="0.3">
      <c r="B45" s="67"/>
      <c r="C45" s="68"/>
      <c r="D45" s="68"/>
      <c r="E45" s="68"/>
      <c r="F45" s="68"/>
      <c r="G45" s="68"/>
      <c r="H45" s="69"/>
    </row>
  </sheetData>
  <mergeCells count="63">
    <mergeCell ref="C23:D23"/>
    <mergeCell ref="E23:F23"/>
    <mergeCell ref="E28:F28"/>
    <mergeCell ref="C28:D28"/>
    <mergeCell ref="E19:F19"/>
    <mergeCell ref="C19:D19"/>
    <mergeCell ref="C25:D25"/>
    <mergeCell ref="E25:F25"/>
    <mergeCell ref="C21:D21"/>
    <mergeCell ref="E21:F21"/>
    <mergeCell ref="C22:D22"/>
    <mergeCell ref="E22:F22"/>
    <mergeCell ref="B41:H41"/>
    <mergeCell ref="C38:D38"/>
    <mergeCell ref="E38:F38"/>
    <mergeCell ref="C37:D37"/>
    <mergeCell ref="E37:F37"/>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0:F20"/>
    <mergeCell ref="C24:D24"/>
    <mergeCell ref="E24:F24"/>
    <mergeCell ref="C26:D26"/>
    <mergeCell ref="E26:F26"/>
    <mergeCell ref="E34:F34"/>
    <mergeCell ref="C32:D32"/>
    <mergeCell ref="C31:D31"/>
    <mergeCell ref="E31:F31"/>
    <mergeCell ref="E32:F32"/>
    <mergeCell ref="C27:D27"/>
    <mergeCell ref="E27:F27"/>
    <mergeCell ref="C33:D33"/>
    <mergeCell ref="C13:D13"/>
    <mergeCell ref="E13:F13"/>
    <mergeCell ref="C15:D15"/>
    <mergeCell ref="E15:F15"/>
    <mergeCell ref="C18:D18"/>
    <mergeCell ref="C16:D16"/>
    <mergeCell ref="C17:D17"/>
    <mergeCell ref="E16:F16"/>
    <mergeCell ref="E17:F17"/>
    <mergeCell ref="E18:F18"/>
    <mergeCell ref="C14:D14"/>
    <mergeCell ref="E14:F14"/>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8"/>
  <sheetViews>
    <sheetView workbookViewId="0">
      <selection activeCell="G3" sqref="G3:H3"/>
    </sheetView>
  </sheetViews>
  <sheetFormatPr baseColWidth="10" defaultRowHeight="12.75" x14ac:dyDescent="0.2"/>
  <cols>
    <col min="1" max="1" width="11.42578125" style="77"/>
    <col min="2" max="2" width="9.5703125" style="77" customWidth="1"/>
    <col min="3" max="3" width="9.7109375" style="77" customWidth="1"/>
    <col min="4" max="4" width="16.140625" style="77" customWidth="1"/>
    <col min="5" max="5" width="35.85546875" style="77" customWidth="1"/>
    <col min="6" max="6" width="24" style="77" customWidth="1"/>
    <col min="7" max="7" width="9.28515625" style="77" customWidth="1"/>
    <col min="8" max="8" width="9.5703125" style="77" customWidth="1"/>
    <col min="9" max="257" width="11.42578125" style="77"/>
    <col min="258" max="258" width="9.5703125" style="77" customWidth="1"/>
    <col min="259" max="259" width="5.42578125" style="77" customWidth="1"/>
    <col min="260" max="260" width="16.140625" style="77" customWidth="1"/>
    <col min="261" max="261" width="35.85546875" style="77" customWidth="1"/>
    <col min="262" max="262" width="24" style="77" customWidth="1"/>
    <col min="263" max="263" width="9.28515625" style="77" customWidth="1"/>
    <col min="264" max="264" width="9.5703125" style="77" customWidth="1"/>
    <col min="265" max="513" width="11.42578125" style="77"/>
    <col min="514" max="514" width="9.5703125" style="77" customWidth="1"/>
    <col min="515" max="515" width="5.42578125" style="77" customWidth="1"/>
    <col min="516" max="516" width="16.140625" style="77" customWidth="1"/>
    <col min="517" max="517" width="35.85546875" style="77" customWidth="1"/>
    <col min="518" max="518" width="24" style="77" customWidth="1"/>
    <col min="519" max="519" width="9.28515625" style="77" customWidth="1"/>
    <col min="520" max="520" width="9.5703125" style="77" customWidth="1"/>
    <col min="521" max="769" width="11.42578125" style="77"/>
    <col min="770" max="770" width="9.5703125" style="77" customWidth="1"/>
    <col min="771" max="771" width="5.42578125" style="77" customWidth="1"/>
    <col min="772" max="772" width="16.140625" style="77" customWidth="1"/>
    <col min="773" max="773" width="35.85546875" style="77" customWidth="1"/>
    <col min="774" max="774" width="24" style="77" customWidth="1"/>
    <col min="775" max="775" width="9.28515625" style="77" customWidth="1"/>
    <col min="776" max="776" width="9.5703125" style="77" customWidth="1"/>
    <col min="777" max="1025" width="11.42578125" style="77"/>
    <col min="1026" max="1026" width="9.5703125" style="77" customWidth="1"/>
    <col min="1027" max="1027" width="5.42578125" style="77" customWidth="1"/>
    <col min="1028" max="1028" width="16.140625" style="77" customWidth="1"/>
    <col min="1029" max="1029" width="35.85546875" style="77" customWidth="1"/>
    <col min="1030" max="1030" width="24" style="77" customWidth="1"/>
    <col min="1031" max="1031" width="9.28515625" style="77" customWidth="1"/>
    <col min="1032" max="1032" width="9.5703125" style="77" customWidth="1"/>
    <col min="1033" max="1281" width="11.42578125" style="77"/>
    <col min="1282" max="1282" width="9.5703125" style="77" customWidth="1"/>
    <col min="1283" max="1283" width="5.42578125" style="77" customWidth="1"/>
    <col min="1284" max="1284" width="16.140625" style="77" customWidth="1"/>
    <col min="1285" max="1285" width="35.85546875" style="77" customWidth="1"/>
    <col min="1286" max="1286" width="24" style="77" customWidth="1"/>
    <col min="1287" max="1287" width="9.28515625" style="77" customWidth="1"/>
    <col min="1288" max="1288" width="9.5703125" style="77" customWidth="1"/>
    <col min="1289" max="1537" width="11.42578125" style="77"/>
    <col min="1538" max="1538" width="9.5703125" style="77" customWidth="1"/>
    <col min="1539" max="1539" width="5.42578125" style="77" customWidth="1"/>
    <col min="1540" max="1540" width="16.140625" style="77" customWidth="1"/>
    <col min="1541" max="1541" width="35.85546875" style="77" customWidth="1"/>
    <col min="1542" max="1542" width="24" style="77" customWidth="1"/>
    <col min="1543" max="1543" width="9.28515625" style="77" customWidth="1"/>
    <col min="1544" max="1544" width="9.5703125" style="77" customWidth="1"/>
    <col min="1545" max="1793" width="11.42578125" style="77"/>
    <col min="1794" max="1794" width="9.5703125" style="77" customWidth="1"/>
    <col min="1795" max="1795" width="5.42578125" style="77" customWidth="1"/>
    <col min="1796" max="1796" width="16.140625" style="77" customWidth="1"/>
    <col min="1797" max="1797" width="35.85546875" style="77" customWidth="1"/>
    <col min="1798" max="1798" width="24" style="77" customWidth="1"/>
    <col min="1799" max="1799" width="9.28515625" style="77" customWidth="1"/>
    <col min="1800" max="1800" width="9.5703125" style="77" customWidth="1"/>
    <col min="1801" max="2049" width="11.42578125" style="77"/>
    <col min="2050" max="2050" width="9.5703125" style="77" customWidth="1"/>
    <col min="2051" max="2051" width="5.42578125" style="77" customWidth="1"/>
    <col min="2052" max="2052" width="16.140625" style="77" customWidth="1"/>
    <col min="2053" max="2053" width="35.85546875" style="77" customWidth="1"/>
    <col min="2054" max="2054" width="24" style="77" customWidth="1"/>
    <col min="2055" max="2055" width="9.28515625" style="77" customWidth="1"/>
    <col min="2056" max="2056" width="9.5703125" style="77" customWidth="1"/>
    <col min="2057" max="2305" width="11.42578125" style="77"/>
    <col min="2306" max="2306" width="9.5703125" style="77" customWidth="1"/>
    <col min="2307" max="2307" width="5.42578125" style="77" customWidth="1"/>
    <col min="2308" max="2308" width="16.140625" style="77" customWidth="1"/>
    <col min="2309" max="2309" width="35.85546875" style="77" customWidth="1"/>
    <col min="2310" max="2310" width="24" style="77" customWidth="1"/>
    <col min="2311" max="2311" width="9.28515625" style="77" customWidth="1"/>
    <col min="2312" max="2312" width="9.5703125" style="77" customWidth="1"/>
    <col min="2313" max="2561" width="11.42578125" style="77"/>
    <col min="2562" max="2562" width="9.5703125" style="77" customWidth="1"/>
    <col min="2563" max="2563" width="5.42578125" style="77" customWidth="1"/>
    <col min="2564" max="2564" width="16.140625" style="77" customWidth="1"/>
    <col min="2565" max="2565" width="35.85546875" style="77" customWidth="1"/>
    <col min="2566" max="2566" width="24" style="77" customWidth="1"/>
    <col min="2567" max="2567" width="9.28515625" style="77" customWidth="1"/>
    <col min="2568" max="2568" width="9.5703125" style="77" customWidth="1"/>
    <col min="2569" max="2817" width="11.42578125" style="77"/>
    <col min="2818" max="2818" width="9.5703125" style="77" customWidth="1"/>
    <col min="2819" max="2819" width="5.42578125" style="77" customWidth="1"/>
    <col min="2820" max="2820" width="16.140625" style="77" customWidth="1"/>
    <col min="2821" max="2821" width="35.85546875" style="77" customWidth="1"/>
    <col min="2822" max="2822" width="24" style="77" customWidth="1"/>
    <col min="2823" max="2823" width="9.28515625" style="77" customWidth="1"/>
    <col min="2824" max="2824" width="9.5703125" style="77" customWidth="1"/>
    <col min="2825" max="3073" width="11.42578125" style="77"/>
    <col min="3074" max="3074" width="9.5703125" style="77" customWidth="1"/>
    <col min="3075" max="3075" width="5.42578125" style="77" customWidth="1"/>
    <col min="3076" max="3076" width="16.140625" style="77" customWidth="1"/>
    <col min="3077" max="3077" width="35.85546875" style="77" customWidth="1"/>
    <col min="3078" max="3078" width="24" style="77" customWidth="1"/>
    <col min="3079" max="3079" width="9.28515625" style="77" customWidth="1"/>
    <col min="3080" max="3080" width="9.5703125" style="77" customWidth="1"/>
    <col min="3081" max="3329" width="11.42578125" style="77"/>
    <col min="3330" max="3330" width="9.5703125" style="77" customWidth="1"/>
    <col min="3331" max="3331" width="5.42578125" style="77" customWidth="1"/>
    <col min="3332" max="3332" width="16.140625" style="77" customWidth="1"/>
    <col min="3333" max="3333" width="35.85546875" style="77" customWidth="1"/>
    <col min="3334" max="3334" width="24" style="77" customWidth="1"/>
    <col min="3335" max="3335" width="9.28515625" style="77" customWidth="1"/>
    <col min="3336" max="3336" width="9.5703125" style="77" customWidth="1"/>
    <col min="3337" max="3585" width="11.42578125" style="77"/>
    <col min="3586" max="3586" width="9.5703125" style="77" customWidth="1"/>
    <col min="3587" max="3587" width="5.42578125" style="77" customWidth="1"/>
    <col min="3588" max="3588" width="16.140625" style="77" customWidth="1"/>
    <col min="3589" max="3589" width="35.85546875" style="77" customWidth="1"/>
    <col min="3590" max="3590" width="24" style="77" customWidth="1"/>
    <col min="3591" max="3591" width="9.28515625" style="77" customWidth="1"/>
    <col min="3592" max="3592" width="9.5703125" style="77" customWidth="1"/>
    <col min="3593" max="3841" width="11.42578125" style="77"/>
    <col min="3842" max="3842" width="9.5703125" style="77" customWidth="1"/>
    <col min="3843" max="3843" width="5.42578125" style="77" customWidth="1"/>
    <col min="3844" max="3844" width="16.140625" style="77" customWidth="1"/>
    <col min="3845" max="3845" width="35.85546875" style="77" customWidth="1"/>
    <col min="3846" max="3846" width="24" style="77" customWidth="1"/>
    <col min="3847" max="3847" width="9.28515625" style="77" customWidth="1"/>
    <col min="3848" max="3848" width="9.5703125" style="77" customWidth="1"/>
    <col min="3849" max="4097" width="11.42578125" style="77"/>
    <col min="4098" max="4098" width="9.5703125" style="77" customWidth="1"/>
    <col min="4099" max="4099" width="5.42578125" style="77" customWidth="1"/>
    <col min="4100" max="4100" width="16.140625" style="77" customWidth="1"/>
    <col min="4101" max="4101" width="35.85546875" style="77" customWidth="1"/>
    <col min="4102" max="4102" width="24" style="77" customWidth="1"/>
    <col min="4103" max="4103" width="9.28515625" style="77" customWidth="1"/>
    <col min="4104" max="4104" width="9.5703125" style="77" customWidth="1"/>
    <col min="4105" max="4353" width="11.42578125" style="77"/>
    <col min="4354" max="4354" width="9.5703125" style="77" customWidth="1"/>
    <col min="4355" max="4355" width="5.42578125" style="77" customWidth="1"/>
    <col min="4356" max="4356" width="16.140625" style="77" customWidth="1"/>
    <col min="4357" max="4357" width="35.85546875" style="77" customWidth="1"/>
    <col min="4358" max="4358" width="24" style="77" customWidth="1"/>
    <col min="4359" max="4359" width="9.28515625" style="77" customWidth="1"/>
    <col min="4360" max="4360" width="9.5703125" style="77" customWidth="1"/>
    <col min="4361" max="4609" width="11.42578125" style="77"/>
    <col min="4610" max="4610" width="9.5703125" style="77" customWidth="1"/>
    <col min="4611" max="4611" width="5.42578125" style="77" customWidth="1"/>
    <col min="4612" max="4612" width="16.140625" style="77" customWidth="1"/>
    <col min="4613" max="4613" width="35.85546875" style="77" customWidth="1"/>
    <col min="4614" max="4614" width="24" style="77" customWidth="1"/>
    <col min="4615" max="4615" width="9.28515625" style="77" customWidth="1"/>
    <col min="4616" max="4616" width="9.5703125" style="77" customWidth="1"/>
    <col min="4617" max="4865" width="11.42578125" style="77"/>
    <col min="4866" max="4866" width="9.5703125" style="77" customWidth="1"/>
    <col min="4867" max="4867" width="5.42578125" style="77" customWidth="1"/>
    <col min="4868" max="4868" width="16.140625" style="77" customWidth="1"/>
    <col min="4869" max="4869" width="35.85546875" style="77" customWidth="1"/>
    <col min="4870" max="4870" width="24" style="77" customWidth="1"/>
    <col min="4871" max="4871" width="9.28515625" style="77" customWidth="1"/>
    <col min="4872" max="4872" width="9.5703125" style="77" customWidth="1"/>
    <col min="4873" max="5121" width="11.42578125" style="77"/>
    <col min="5122" max="5122" width="9.5703125" style="77" customWidth="1"/>
    <col min="5123" max="5123" width="5.42578125" style="77" customWidth="1"/>
    <col min="5124" max="5124" width="16.140625" style="77" customWidth="1"/>
    <col min="5125" max="5125" width="35.85546875" style="77" customWidth="1"/>
    <col min="5126" max="5126" width="24" style="77" customWidth="1"/>
    <col min="5127" max="5127" width="9.28515625" style="77" customWidth="1"/>
    <col min="5128" max="5128" width="9.5703125" style="77" customWidth="1"/>
    <col min="5129" max="5377" width="11.42578125" style="77"/>
    <col min="5378" max="5378" width="9.5703125" style="77" customWidth="1"/>
    <col min="5379" max="5379" width="5.42578125" style="77" customWidth="1"/>
    <col min="5380" max="5380" width="16.140625" style="77" customWidth="1"/>
    <col min="5381" max="5381" width="35.85546875" style="77" customWidth="1"/>
    <col min="5382" max="5382" width="24" style="77" customWidth="1"/>
    <col min="5383" max="5383" width="9.28515625" style="77" customWidth="1"/>
    <col min="5384" max="5384" width="9.5703125" style="77" customWidth="1"/>
    <col min="5385" max="5633" width="11.42578125" style="77"/>
    <col min="5634" max="5634" width="9.5703125" style="77" customWidth="1"/>
    <col min="5635" max="5635" width="5.42578125" style="77" customWidth="1"/>
    <col min="5636" max="5636" width="16.140625" style="77" customWidth="1"/>
    <col min="5637" max="5637" width="35.85546875" style="77" customWidth="1"/>
    <col min="5638" max="5638" width="24" style="77" customWidth="1"/>
    <col min="5639" max="5639" width="9.28515625" style="77" customWidth="1"/>
    <col min="5640" max="5640" width="9.5703125" style="77" customWidth="1"/>
    <col min="5641" max="5889" width="11.42578125" style="77"/>
    <col min="5890" max="5890" width="9.5703125" style="77" customWidth="1"/>
    <col min="5891" max="5891" width="5.42578125" style="77" customWidth="1"/>
    <col min="5892" max="5892" width="16.140625" style="77" customWidth="1"/>
    <col min="5893" max="5893" width="35.85546875" style="77" customWidth="1"/>
    <col min="5894" max="5894" width="24" style="77" customWidth="1"/>
    <col min="5895" max="5895" width="9.28515625" style="77" customWidth="1"/>
    <col min="5896" max="5896" width="9.5703125" style="77" customWidth="1"/>
    <col min="5897" max="6145" width="11.42578125" style="77"/>
    <col min="6146" max="6146" width="9.5703125" style="77" customWidth="1"/>
    <col min="6147" max="6147" width="5.42578125" style="77" customWidth="1"/>
    <col min="6148" max="6148" width="16.140625" style="77" customWidth="1"/>
    <col min="6149" max="6149" width="35.85546875" style="77" customWidth="1"/>
    <col min="6150" max="6150" width="24" style="77" customWidth="1"/>
    <col min="6151" max="6151" width="9.28515625" style="77" customWidth="1"/>
    <col min="6152" max="6152" width="9.5703125" style="77" customWidth="1"/>
    <col min="6153" max="6401" width="11.42578125" style="77"/>
    <col min="6402" max="6402" width="9.5703125" style="77" customWidth="1"/>
    <col min="6403" max="6403" width="5.42578125" style="77" customWidth="1"/>
    <col min="6404" max="6404" width="16.140625" style="77" customWidth="1"/>
    <col min="6405" max="6405" width="35.85546875" style="77" customWidth="1"/>
    <col min="6406" max="6406" width="24" style="77" customWidth="1"/>
    <col min="6407" max="6407" width="9.28515625" style="77" customWidth="1"/>
    <col min="6408" max="6408" width="9.5703125" style="77" customWidth="1"/>
    <col min="6409" max="6657" width="11.42578125" style="77"/>
    <col min="6658" max="6658" width="9.5703125" style="77" customWidth="1"/>
    <col min="6659" max="6659" width="5.42578125" style="77" customWidth="1"/>
    <col min="6660" max="6660" width="16.140625" style="77" customWidth="1"/>
    <col min="6661" max="6661" width="35.85546875" style="77" customWidth="1"/>
    <col min="6662" max="6662" width="24" style="77" customWidth="1"/>
    <col min="6663" max="6663" width="9.28515625" style="77" customWidth="1"/>
    <col min="6664" max="6664" width="9.5703125" style="77" customWidth="1"/>
    <col min="6665" max="6913" width="11.42578125" style="77"/>
    <col min="6914" max="6914" width="9.5703125" style="77" customWidth="1"/>
    <col min="6915" max="6915" width="5.42578125" style="77" customWidth="1"/>
    <col min="6916" max="6916" width="16.140625" style="77" customWidth="1"/>
    <col min="6917" max="6917" width="35.85546875" style="77" customWidth="1"/>
    <col min="6918" max="6918" width="24" style="77" customWidth="1"/>
    <col min="6919" max="6919" width="9.28515625" style="77" customWidth="1"/>
    <col min="6920" max="6920" width="9.5703125" style="77" customWidth="1"/>
    <col min="6921" max="7169" width="11.42578125" style="77"/>
    <col min="7170" max="7170" width="9.5703125" style="77" customWidth="1"/>
    <col min="7171" max="7171" width="5.42578125" style="77" customWidth="1"/>
    <col min="7172" max="7172" width="16.140625" style="77" customWidth="1"/>
    <col min="7173" max="7173" width="35.85546875" style="77" customWidth="1"/>
    <col min="7174" max="7174" width="24" style="77" customWidth="1"/>
    <col min="7175" max="7175" width="9.28515625" style="77" customWidth="1"/>
    <col min="7176" max="7176" width="9.5703125" style="77" customWidth="1"/>
    <col min="7177" max="7425" width="11.42578125" style="77"/>
    <col min="7426" max="7426" width="9.5703125" style="77" customWidth="1"/>
    <col min="7427" max="7427" width="5.42578125" style="77" customWidth="1"/>
    <col min="7428" max="7428" width="16.140625" style="77" customWidth="1"/>
    <col min="7429" max="7429" width="35.85546875" style="77" customWidth="1"/>
    <col min="7430" max="7430" width="24" style="77" customWidth="1"/>
    <col min="7431" max="7431" width="9.28515625" style="77" customWidth="1"/>
    <col min="7432" max="7432" width="9.5703125" style="77" customWidth="1"/>
    <col min="7433" max="7681" width="11.42578125" style="77"/>
    <col min="7682" max="7682" width="9.5703125" style="77" customWidth="1"/>
    <col min="7683" max="7683" width="5.42578125" style="77" customWidth="1"/>
    <col min="7684" max="7684" width="16.140625" style="77" customWidth="1"/>
    <col min="7685" max="7685" width="35.85546875" style="77" customWidth="1"/>
    <col min="7686" max="7686" width="24" style="77" customWidth="1"/>
    <col min="7687" max="7687" width="9.28515625" style="77" customWidth="1"/>
    <col min="7688" max="7688" width="9.5703125" style="77" customWidth="1"/>
    <col min="7689" max="7937" width="11.42578125" style="77"/>
    <col min="7938" max="7938" width="9.5703125" style="77" customWidth="1"/>
    <col min="7939" max="7939" width="5.42578125" style="77" customWidth="1"/>
    <col min="7940" max="7940" width="16.140625" style="77" customWidth="1"/>
    <col min="7941" max="7941" width="35.85546875" style="77" customWidth="1"/>
    <col min="7942" max="7942" width="24" style="77" customWidth="1"/>
    <col min="7943" max="7943" width="9.28515625" style="77" customWidth="1"/>
    <col min="7944" max="7944" width="9.5703125" style="77" customWidth="1"/>
    <col min="7945" max="8193" width="11.42578125" style="77"/>
    <col min="8194" max="8194" width="9.5703125" style="77" customWidth="1"/>
    <col min="8195" max="8195" width="5.42578125" style="77" customWidth="1"/>
    <col min="8196" max="8196" width="16.140625" style="77" customWidth="1"/>
    <col min="8197" max="8197" width="35.85546875" style="77" customWidth="1"/>
    <col min="8198" max="8198" width="24" style="77" customWidth="1"/>
    <col min="8199" max="8199" width="9.28515625" style="77" customWidth="1"/>
    <col min="8200" max="8200" width="9.5703125" style="77" customWidth="1"/>
    <col min="8201" max="8449" width="11.42578125" style="77"/>
    <col min="8450" max="8450" width="9.5703125" style="77" customWidth="1"/>
    <col min="8451" max="8451" width="5.42578125" style="77" customWidth="1"/>
    <col min="8452" max="8452" width="16.140625" style="77" customWidth="1"/>
    <col min="8453" max="8453" width="35.85546875" style="77" customWidth="1"/>
    <col min="8454" max="8454" width="24" style="77" customWidth="1"/>
    <col min="8455" max="8455" width="9.28515625" style="77" customWidth="1"/>
    <col min="8456" max="8456" width="9.5703125" style="77" customWidth="1"/>
    <col min="8457" max="8705" width="11.42578125" style="77"/>
    <col min="8706" max="8706" width="9.5703125" style="77" customWidth="1"/>
    <col min="8707" max="8707" width="5.42578125" style="77" customWidth="1"/>
    <col min="8708" max="8708" width="16.140625" style="77" customWidth="1"/>
    <col min="8709" max="8709" width="35.85546875" style="77" customWidth="1"/>
    <col min="8710" max="8710" width="24" style="77" customWidth="1"/>
    <col min="8711" max="8711" width="9.28515625" style="77" customWidth="1"/>
    <col min="8712" max="8712" width="9.5703125" style="77" customWidth="1"/>
    <col min="8713" max="8961" width="11.42578125" style="77"/>
    <col min="8962" max="8962" width="9.5703125" style="77" customWidth="1"/>
    <col min="8963" max="8963" width="5.42578125" style="77" customWidth="1"/>
    <col min="8964" max="8964" width="16.140625" style="77" customWidth="1"/>
    <col min="8965" max="8965" width="35.85546875" style="77" customWidth="1"/>
    <col min="8966" max="8966" width="24" style="77" customWidth="1"/>
    <col min="8967" max="8967" width="9.28515625" style="77" customWidth="1"/>
    <col min="8968" max="8968" width="9.5703125" style="77" customWidth="1"/>
    <col min="8969" max="9217" width="11.42578125" style="77"/>
    <col min="9218" max="9218" width="9.5703125" style="77" customWidth="1"/>
    <col min="9219" max="9219" width="5.42578125" style="77" customWidth="1"/>
    <col min="9220" max="9220" width="16.140625" style="77" customWidth="1"/>
    <col min="9221" max="9221" width="35.85546875" style="77" customWidth="1"/>
    <col min="9222" max="9222" width="24" style="77" customWidth="1"/>
    <col min="9223" max="9223" width="9.28515625" style="77" customWidth="1"/>
    <col min="9224" max="9224" width="9.5703125" style="77" customWidth="1"/>
    <col min="9225" max="9473" width="11.42578125" style="77"/>
    <col min="9474" max="9474" width="9.5703125" style="77" customWidth="1"/>
    <col min="9475" max="9475" width="5.42578125" style="77" customWidth="1"/>
    <col min="9476" max="9476" width="16.140625" style="77" customWidth="1"/>
    <col min="9477" max="9477" width="35.85546875" style="77" customWidth="1"/>
    <col min="9478" max="9478" width="24" style="77" customWidth="1"/>
    <col min="9479" max="9479" width="9.28515625" style="77" customWidth="1"/>
    <col min="9480" max="9480" width="9.5703125" style="77" customWidth="1"/>
    <col min="9481" max="9729" width="11.42578125" style="77"/>
    <col min="9730" max="9730" width="9.5703125" style="77" customWidth="1"/>
    <col min="9731" max="9731" width="5.42578125" style="77" customWidth="1"/>
    <col min="9732" max="9732" width="16.140625" style="77" customWidth="1"/>
    <col min="9733" max="9733" width="35.85546875" style="77" customWidth="1"/>
    <col min="9734" max="9734" width="24" style="77" customWidth="1"/>
    <col min="9735" max="9735" width="9.28515625" style="77" customWidth="1"/>
    <col min="9736" max="9736" width="9.5703125" style="77" customWidth="1"/>
    <col min="9737" max="9985" width="11.42578125" style="77"/>
    <col min="9986" max="9986" width="9.5703125" style="77" customWidth="1"/>
    <col min="9987" max="9987" width="5.42578125" style="77" customWidth="1"/>
    <col min="9988" max="9988" width="16.140625" style="77" customWidth="1"/>
    <col min="9989" max="9989" width="35.85546875" style="77" customWidth="1"/>
    <col min="9990" max="9990" width="24" style="77" customWidth="1"/>
    <col min="9991" max="9991" width="9.28515625" style="77" customWidth="1"/>
    <col min="9992" max="9992" width="9.5703125" style="77" customWidth="1"/>
    <col min="9993" max="10241" width="11.42578125" style="77"/>
    <col min="10242" max="10242" width="9.5703125" style="77" customWidth="1"/>
    <col min="10243" max="10243" width="5.42578125" style="77" customWidth="1"/>
    <col min="10244" max="10244" width="16.140625" style="77" customWidth="1"/>
    <col min="10245" max="10245" width="35.85546875" style="77" customWidth="1"/>
    <col min="10246" max="10246" width="24" style="77" customWidth="1"/>
    <col min="10247" max="10247" width="9.28515625" style="77" customWidth="1"/>
    <col min="10248" max="10248" width="9.5703125" style="77" customWidth="1"/>
    <col min="10249" max="10497" width="11.42578125" style="77"/>
    <col min="10498" max="10498" width="9.5703125" style="77" customWidth="1"/>
    <col min="10499" max="10499" width="5.42578125" style="77" customWidth="1"/>
    <col min="10500" max="10500" width="16.140625" style="77" customWidth="1"/>
    <col min="10501" max="10501" width="35.85546875" style="77" customWidth="1"/>
    <col min="10502" max="10502" width="24" style="77" customWidth="1"/>
    <col min="10503" max="10503" width="9.28515625" style="77" customWidth="1"/>
    <col min="10504" max="10504" width="9.5703125" style="77" customWidth="1"/>
    <col min="10505" max="10753" width="11.42578125" style="77"/>
    <col min="10754" max="10754" width="9.5703125" style="77" customWidth="1"/>
    <col min="10755" max="10755" width="5.42578125" style="77" customWidth="1"/>
    <col min="10756" max="10756" width="16.140625" style="77" customWidth="1"/>
    <col min="10757" max="10757" width="35.85546875" style="77" customWidth="1"/>
    <col min="10758" max="10758" width="24" style="77" customWidth="1"/>
    <col min="10759" max="10759" width="9.28515625" style="77" customWidth="1"/>
    <col min="10760" max="10760" width="9.5703125" style="77" customWidth="1"/>
    <col min="10761" max="11009" width="11.42578125" style="77"/>
    <col min="11010" max="11010" width="9.5703125" style="77" customWidth="1"/>
    <col min="11011" max="11011" width="5.42578125" style="77" customWidth="1"/>
    <col min="11012" max="11012" width="16.140625" style="77" customWidth="1"/>
    <col min="11013" max="11013" width="35.85546875" style="77" customWidth="1"/>
    <col min="11014" max="11014" width="24" style="77" customWidth="1"/>
    <col min="11015" max="11015" width="9.28515625" style="77" customWidth="1"/>
    <col min="11016" max="11016" width="9.5703125" style="77" customWidth="1"/>
    <col min="11017" max="11265" width="11.42578125" style="77"/>
    <col min="11266" max="11266" width="9.5703125" style="77" customWidth="1"/>
    <col min="11267" max="11267" width="5.42578125" style="77" customWidth="1"/>
    <col min="11268" max="11268" width="16.140625" style="77" customWidth="1"/>
    <col min="11269" max="11269" width="35.85546875" style="77" customWidth="1"/>
    <col min="11270" max="11270" width="24" style="77" customWidth="1"/>
    <col min="11271" max="11271" width="9.28515625" style="77" customWidth="1"/>
    <col min="11272" max="11272" width="9.5703125" style="77" customWidth="1"/>
    <col min="11273" max="11521" width="11.42578125" style="77"/>
    <col min="11522" max="11522" width="9.5703125" style="77" customWidth="1"/>
    <col min="11523" max="11523" width="5.42578125" style="77" customWidth="1"/>
    <col min="11524" max="11524" width="16.140625" style="77" customWidth="1"/>
    <col min="11525" max="11525" width="35.85546875" style="77" customWidth="1"/>
    <col min="11526" max="11526" width="24" style="77" customWidth="1"/>
    <col min="11527" max="11527" width="9.28515625" style="77" customWidth="1"/>
    <col min="11528" max="11528" width="9.5703125" style="77" customWidth="1"/>
    <col min="11529" max="11777" width="11.42578125" style="77"/>
    <col min="11778" max="11778" width="9.5703125" style="77" customWidth="1"/>
    <col min="11779" max="11779" width="5.42578125" style="77" customWidth="1"/>
    <col min="11780" max="11780" width="16.140625" style="77" customWidth="1"/>
    <col min="11781" max="11781" width="35.85546875" style="77" customWidth="1"/>
    <col min="11782" max="11782" width="24" style="77" customWidth="1"/>
    <col min="11783" max="11783" width="9.28515625" style="77" customWidth="1"/>
    <col min="11784" max="11784" width="9.5703125" style="77" customWidth="1"/>
    <col min="11785" max="12033" width="11.42578125" style="77"/>
    <col min="12034" max="12034" width="9.5703125" style="77" customWidth="1"/>
    <col min="12035" max="12035" width="5.42578125" style="77" customWidth="1"/>
    <col min="12036" max="12036" width="16.140625" style="77" customWidth="1"/>
    <col min="12037" max="12037" width="35.85546875" style="77" customWidth="1"/>
    <col min="12038" max="12038" width="24" style="77" customWidth="1"/>
    <col min="12039" max="12039" width="9.28515625" style="77" customWidth="1"/>
    <col min="12040" max="12040" width="9.5703125" style="77" customWidth="1"/>
    <col min="12041" max="12289" width="11.42578125" style="77"/>
    <col min="12290" max="12290" width="9.5703125" style="77" customWidth="1"/>
    <col min="12291" max="12291" width="5.42578125" style="77" customWidth="1"/>
    <col min="12292" max="12292" width="16.140625" style="77" customWidth="1"/>
    <col min="12293" max="12293" width="35.85546875" style="77" customWidth="1"/>
    <col min="12294" max="12294" width="24" style="77" customWidth="1"/>
    <col min="12295" max="12295" width="9.28515625" style="77" customWidth="1"/>
    <col min="12296" max="12296" width="9.5703125" style="77" customWidth="1"/>
    <col min="12297" max="12545" width="11.42578125" style="77"/>
    <col min="12546" max="12546" width="9.5703125" style="77" customWidth="1"/>
    <col min="12547" max="12547" width="5.42578125" style="77" customWidth="1"/>
    <col min="12548" max="12548" width="16.140625" style="77" customWidth="1"/>
    <col min="12549" max="12549" width="35.85546875" style="77" customWidth="1"/>
    <col min="12550" max="12550" width="24" style="77" customWidth="1"/>
    <col min="12551" max="12551" width="9.28515625" style="77" customWidth="1"/>
    <col min="12552" max="12552" width="9.5703125" style="77" customWidth="1"/>
    <col min="12553" max="12801" width="11.42578125" style="77"/>
    <col min="12802" max="12802" width="9.5703125" style="77" customWidth="1"/>
    <col min="12803" max="12803" width="5.42578125" style="77" customWidth="1"/>
    <col min="12804" max="12804" width="16.140625" style="77" customWidth="1"/>
    <col min="12805" max="12805" width="35.85546875" style="77" customWidth="1"/>
    <col min="12806" max="12806" width="24" style="77" customWidth="1"/>
    <col min="12807" max="12807" width="9.28515625" style="77" customWidth="1"/>
    <col min="12808" max="12808" width="9.5703125" style="77" customWidth="1"/>
    <col min="12809" max="13057" width="11.42578125" style="77"/>
    <col min="13058" max="13058" width="9.5703125" style="77" customWidth="1"/>
    <col min="13059" max="13059" width="5.42578125" style="77" customWidth="1"/>
    <col min="13060" max="13060" width="16.140625" style="77" customWidth="1"/>
    <col min="13061" max="13061" width="35.85546875" style="77" customWidth="1"/>
    <col min="13062" max="13062" width="24" style="77" customWidth="1"/>
    <col min="13063" max="13063" width="9.28515625" style="77" customWidth="1"/>
    <col min="13064" max="13064" width="9.5703125" style="77" customWidth="1"/>
    <col min="13065" max="13313" width="11.42578125" style="77"/>
    <col min="13314" max="13314" width="9.5703125" style="77" customWidth="1"/>
    <col min="13315" max="13315" width="5.42578125" style="77" customWidth="1"/>
    <col min="13316" max="13316" width="16.140625" style="77" customWidth="1"/>
    <col min="13317" max="13317" width="35.85546875" style="77" customWidth="1"/>
    <col min="13318" max="13318" width="24" style="77" customWidth="1"/>
    <col min="13319" max="13319" width="9.28515625" style="77" customWidth="1"/>
    <col min="13320" max="13320" width="9.5703125" style="77" customWidth="1"/>
    <col min="13321" max="13569" width="11.42578125" style="77"/>
    <col min="13570" max="13570" width="9.5703125" style="77" customWidth="1"/>
    <col min="13571" max="13571" width="5.42578125" style="77" customWidth="1"/>
    <col min="13572" max="13572" width="16.140625" style="77" customWidth="1"/>
    <col min="13573" max="13573" width="35.85546875" style="77" customWidth="1"/>
    <col min="13574" max="13574" width="24" style="77" customWidth="1"/>
    <col min="13575" max="13575" width="9.28515625" style="77" customWidth="1"/>
    <col min="13576" max="13576" width="9.5703125" style="77" customWidth="1"/>
    <col min="13577" max="13825" width="11.42578125" style="77"/>
    <col min="13826" max="13826" width="9.5703125" style="77" customWidth="1"/>
    <col min="13827" max="13827" width="5.42578125" style="77" customWidth="1"/>
    <col min="13828" max="13828" width="16.140625" style="77" customWidth="1"/>
    <col min="13829" max="13829" width="35.85546875" style="77" customWidth="1"/>
    <col min="13830" max="13830" width="24" style="77" customWidth="1"/>
    <col min="13831" max="13831" width="9.28515625" style="77" customWidth="1"/>
    <col min="13832" max="13832" width="9.5703125" style="77" customWidth="1"/>
    <col min="13833" max="14081" width="11.42578125" style="77"/>
    <col min="14082" max="14082" width="9.5703125" style="77" customWidth="1"/>
    <col min="14083" max="14083" width="5.42578125" style="77" customWidth="1"/>
    <col min="14084" max="14084" width="16.140625" style="77" customWidth="1"/>
    <col min="14085" max="14085" width="35.85546875" style="77" customWidth="1"/>
    <col min="14086" max="14086" width="24" style="77" customWidth="1"/>
    <col min="14087" max="14087" width="9.28515625" style="77" customWidth="1"/>
    <col min="14088" max="14088" width="9.5703125" style="77" customWidth="1"/>
    <col min="14089" max="14337" width="11.42578125" style="77"/>
    <col min="14338" max="14338" width="9.5703125" style="77" customWidth="1"/>
    <col min="14339" max="14339" width="5.42578125" style="77" customWidth="1"/>
    <col min="14340" max="14340" width="16.140625" style="77" customWidth="1"/>
    <col min="14341" max="14341" width="35.85546875" style="77" customWidth="1"/>
    <col min="14342" max="14342" width="24" style="77" customWidth="1"/>
    <col min="14343" max="14343" width="9.28515625" style="77" customWidth="1"/>
    <col min="14344" max="14344" width="9.5703125" style="77" customWidth="1"/>
    <col min="14345" max="14593" width="11.42578125" style="77"/>
    <col min="14594" max="14594" width="9.5703125" style="77" customWidth="1"/>
    <col min="14595" max="14595" width="5.42578125" style="77" customWidth="1"/>
    <col min="14596" max="14596" width="16.140625" style="77" customWidth="1"/>
    <col min="14597" max="14597" width="35.85546875" style="77" customWidth="1"/>
    <col min="14598" max="14598" width="24" style="77" customWidth="1"/>
    <col min="14599" max="14599" width="9.28515625" style="77" customWidth="1"/>
    <col min="14600" max="14600" width="9.5703125" style="77" customWidth="1"/>
    <col min="14601" max="14849" width="11.42578125" style="77"/>
    <col min="14850" max="14850" width="9.5703125" style="77" customWidth="1"/>
    <col min="14851" max="14851" width="5.42578125" style="77" customWidth="1"/>
    <col min="14852" max="14852" width="16.140625" style="77" customWidth="1"/>
    <col min="14853" max="14853" width="35.85546875" style="77" customWidth="1"/>
    <col min="14854" max="14854" width="24" style="77" customWidth="1"/>
    <col min="14855" max="14855" width="9.28515625" style="77" customWidth="1"/>
    <col min="14856" max="14856" width="9.5703125" style="77" customWidth="1"/>
    <col min="14857" max="15105" width="11.42578125" style="77"/>
    <col min="15106" max="15106" width="9.5703125" style="77" customWidth="1"/>
    <col min="15107" max="15107" width="5.42578125" style="77" customWidth="1"/>
    <col min="15108" max="15108" width="16.140625" style="77" customWidth="1"/>
    <col min="15109" max="15109" width="35.85546875" style="77" customWidth="1"/>
    <col min="15110" max="15110" width="24" style="77" customWidth="1"/>
    <col min="15111" max="15111" width="9.28515625" style="77" customWidth="1"/>
    <col min="15112" max="15112" width="9.5703125" style="77" customWidth="1"/>
    <col min="15113" max="15361" width="11.42578125" style="77"/>
    <col min="15362" max="15362" width="9.5703125" style="77" customWidth="1"/>
    <col min="15363" max="15363" width="5.42578125" style="77" customWidth="1"/>
    <col min="15364" max="15364" width="16.140625" style="77" customWidth="1"/>
    <col min="15365" max="15365" width="35.85546875" style="77" customWidth="1"/>
    <col min="15366" max="15366" width="24" style="77" customWidth="1"/>
    <col min="15367" max="15367" width="9.28515625" style="77" customWidth="1"/>
    <col min="15368" max="15368" width="9.5703125" style="77" customWidth="1"/>
    <col min="15369" max="15617" width="11.42578125" style="77"/>
    <col min="15618" max="15618" width="9.5703125" style="77" customWidth="1"/>
    <col min="15619" max="15619" width="5.42578125" style="77" customWidth="1"/>
    <col min="15620" max="15620" width="16.140625" style="77" customWidth="1"/>
    <col min="15621" max="15621" width="35.85546875" style="77" customWidth="1"/>
    <col min="15622" max="15622" width="24" style="77" customWidth="1"/>
    <col min="15623" max="15623" width="9.28515625" style="77" customWidth="1"/>
    <col min="15624" max="15624" width="9.5703125" style="77" customWidth="1"/>
    <col min="15625" max="15873" width="11.42578125" style="77"/>
    <col min="15874" max="15874" width="9.5703125" style="77" customWidth="1"/>
    <col min="15875" max="15875" width="5.42578125" style="77" customWidth="1"/>
    <col min="15876" max="15876" width="16.140625" style="77" customWidth="1"/>
    <col min="15877" max="15877" width="35.85546875" style="77" customWidth="1"/>
    <col min="15878" max="15878" width="24" style="77" customWidth="1"/>
    <col min="15879" max="15879" width="9.28515625" style="77" customWidth="1"/>
    <col min="15880" max="15880" width="9.5703125" style="77" customWidth="1"/>
    <col min="15881" max="16129" width="11.42578125" style="77"/>
    <col min="16130" max="16130" width="9.5703125" style="77" customWidth="1"/>
    <col min="16131" max="16131" width="5.42578125" style="77" customWidth="1"/>
    <col min="16132" max="16132" width="16.140625" style="77" customWidth="1"/>
    <col min="16133" max="16133" width="35.85546875" style="77" customWidth="1"/>
    <col min="16134" max="16134" width="24" style="77" customWidth="1"/>
    <col min="16135" max="16135" width="9.28515625" style="77" customWidth="1"/>
    <col min="16136" max="16136" width="9.5703125" style="77" customWidth="1"/>
    <col min="16137" max="16384" width="11.42578125" style="77"/>
  </cols>
  <sheetData>
    <row r="1" spans="2:9" ht="13.5" thickBot="1" x14ac:dyDescent="0.25"/>
    <row r="2" spans="2:9" ht="27.75" customHeight="1" x14ac:dyDescent="0.2">
      <c r="B2" s="674" t="s">
        <v>216</v>
      </c>
      <c r="C2" s="675"/>
      <c r="D2" s="676" t="s">
        <v>208</v>
      </c>
      <c r="E2" s="677"/>
      <c r="F2" s="675"/>
      <c r="G2" s="676"/>
      <c r="H2" s="678"/>
    </row>
    <row r="3" spans="2:9" ht="13.5" thickBot="1" x14ac:dyDescent="0.25">
      <c r="B3" s="679" t="s">
        <v>200</v>
      </c>
      <c r="C3" s="680"/>
      <c r="D3" s="681" t="s">
        <v>217</v>
      </c>
      <c r="E3" s="682"/>
      <c r="F3" s="680"/>
      <c r="G3" s="681" t="s">
        <v>218</v>
      </c>
      <c r="H3" s="683"/>
    </row>
    <row r="4" spans="2:9" ht="13.5" thickBot="1" x14ac:dyDescent="0.25">
      <c r="B4" s="128"/>
      <c r="H4" s="129"/>
    </row>
    <row r="5" spans="2:9" ht="13.5" thickBot="1" x14ac:dyDescent="0.25">
      <c r="B5" s="684" t="s">
        <v>209</v>
      </c>
      <c r="C5" s="685"/>
      <c r="D5" s="685"/>
      <c r="E5" s="685"/>
      <c r="F5" s="685"/>
      <c r="G5" s="685"/>
      <c r="H5" s="686"/>
    </row>
    <row r="6" spans="2:9" ht="13.5" thickBot="1" x14ac:dyDescent="0.25">
      <c r="B6" s="687" t="s">
        <v>210</v>
      </c>
      <c r="C6" s="688"/>
      <c r="D6" s="131" t="s">
        <v>211</v>
      </c>
      <c r="E6" s="130" t="s">
        <v>212</v>
      </c>
      <c r="F6" s="689" t="s">
        <v>213</v>
      </c>
      <c r="G6" s="690"/>
      <c r="H6" s="691"/>
    </row>
    <row r="7" spans="2:9" x14ac:dyDescent="0.2">
      <c r="B7" s="692">
        <v>1</v>
      </c>
      <c r="C7" s="693"/>
      <c r="D7" s="139">
        <v>45070</v>
      </c>
      <c r="E7" s="132" t="s">
        <v>214</v>
      </c>
      <c r="F7" s="694" t="s">
        <v>215</v>
      </c>
      <c r="G7" s="695"/>
      <c r="H7" s="696"/>
    </row>
    <row r="8" spans="2:9" x14ac:dyDescent="0.2">
      <c r="B8" s="670"/>
      <c r="C8" s="671"/>
      <c r="D8" s="133"/>
      <c r="E8" s="132"/>
      <c r="F8" s="672"/>
      <c r="G8" s="672"/>
      <c r="H8" s="673"/>
    </row>
    <row r="9" spans="2:9" ht="27.75" customHeight="1" x14ac:dyDescent="0.2">
      <c r="B9" s="670"/>
      <c r="C9" s="671"/>
      <c r="D9" s="133"/>
      <c r="E9" s="132"/>
      <c r="F9" s="672"/>
      <c r="G9" s="672"/>
      <c r="H9" s="673"/>
      <c r="I9" s="135"/>
    </row>
    <row r="10" spans="2:9" ht="46.5" customHeight="1" x14ac:dyDescent="0.2">
      <c r="B10" s="670"/>
      <c r="C10" s="671"/>
      <c r="D10" s="133"/>
      <c r="E10" s="134"/>
      <c r="F10" s="672"/>
      <c r="G10" s="672"/>
      <c r="H10" s="673"/>
    </row>
    <row r="11" spans="2:9" x14ac:dyDescent="0.2">
      <c r="B11" s="670"/>
      <c r="C11" s="671"/>
      <c r="D11" s="134"/>
      <c r="E11" s="134"/>
      <c r="F11" s="672"/>
      <c r="G11" s="672"/>
      <c r="H11" s="673"/>
    </row>
    <row r="12" spans="2:9" x14ac:dyDescent="0.2">
      <c r="B12" s="670"/>
      <c r="C12" s="671"/>
      <c r="D12" s="134"/>
      <c r="E12" s="136"/>
      <c r="F12" s="672"/>
      <c r="G12" s="672"/>
      <c r="H12" s="673"/>
    </row>
    <row r="13" spans="2:9" x14ac:dyDescent="0.2">
      <c r="B13" s="670"/>
      <c r="C13" s="671"/>
      <c r="D13" s="134"/>
      <c r="E13" s="136"/>
      <c r="F13" s="672"/>
      <c r="G13" s="672"/>
      <c r="H13" s="673"/>
    </row>
    <row r="14" spans="2:9" x14ac:dyDescent="0.2">
      <c r="B14" s="670"/>
      <c r="C14" s="671"/>
      <c r="D14" s="134"/>
      <c r="E14" s="136"/>
      <c r="F14" s="672"/>
      <c r="G14" s="672"/>
      <c r="H14" s="673"/>
    </row>
    <row r="15" spans="2:9" x14ac:dyDescent="0.2">
      <c r="B15" s="670"/>
      <c r="C15" s="671"/>
      <c r="D15" s="134"/>
      <c r="E15" s="136"/>
      <c r="F15" s="672"/>
      <c r="G15" s="672"/>
      <c r="H15" s="673"/>
    </row>
    <row r="16" spans="2:9" x14ac:dyDescent="0.2">
      <c r="B16" s="670"/>
      <c r="C16" s="671"/>
      <c r="D16" s="134"/>
      <c r="E16" s="136"/>
      <c r="F16" s="672"/>
      <c r="G16" s="672"/>
      <c r="H16" s="673"/>
    </row>
    <row r="17" spans="2:8" x14ac:dyDescent="0.2">
      <c r="B17" s="670"/>
      <c r="C17" s="671"/>
      <c r="D17" s="134"/>
      <c r="E17" s="136"/>
      <c r="F17" s="672"/>
      <c r="G17" s="672"/>
      <c r="H17" s="673"/>
    </row>
    <row r="18" spans="2:8" ht="13.5" thickBot="1" x14ac:dyDescent="0.25">
      <c r="B18" s="697"/>
      <c r="C18" s="698"/>
      <c r="D18" s="137"/>
      <c r="E18" s="138"/>
      <c r="F18" s="699"/>
      <c r="G18" s="699"/>
      <c r="H18" s="700"/>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2060"/>
  </sheetPr>
  <dimension ref="B2:BW117"/>
  <sheetViews>
    <sheetView tabSelected="1" zoomScale="80" zoomScaleNormal="80" workbookViewId="0">
      <pane ySplit="8" topLeftCell="A9" activePane="bottomLeft" state="frozen"/>
      <selection pane="bottomLeft" activeCell="H9" sqref="H9:H10"/>
    </sheetView>
  </sheetViews>
  <sheetFormatPr baseColWidth="10" defaultRowHeight="12.75" x14ac:dyDescent="0.2"/>
  <cols>
    <col min="1" max="1" width="11.42578125" style="77"/>
    <col min="2" max="2" width="21.85546875" style="77" customWidth="1"/>
    <col min="3" max="3" width="19.5703125" style="77" customWidth="1"/>
    <col min="4" max="4" width="4.140625" style="85" bestFit="1" customWidth="1"/>
    <col min="5" max="5" width="26.42578125" style="85" customWidth="1"/>
    <col min="6" max="6" width="29.42578125" style="85" customWidth="1"/>
    <col min="7" max="7" width="24.140625" style="233" customWidth="1"/>
    <col min="8" max="8" width="14.85546875" style="85" customWidth="1"/>
    <col min="9" max="9" width="16.42578125" style="85" customWidth="1"/>
    <col min="10" max="10" width="16.42578125" style="86" customWidth="1"/>
    <col min="11" max="11" width="16.42578125" style="85" customWidth="1"/>
    <col min="12" max="12" width="18" style="77" customWidth="1"/>
    <col min="13" max="13" width="16.5703125" style="77" customWidth="1"/>
    <col min="14" max="14" width="6.7109375" style="77" customWidth="1"/>
    <col min="15" max="15" width="20.7109375" style="77" customWidth="1"/>
    <col min="16" max="16" width="19.28515625" style="77" customWidth="1"/>
    <col min="17" max="17" width="22.85546875" style="77" customWidth="1"/>
    <col min="18" max="18" width="6" style="77" customWidth="1"/>
    <col min="19" max="19" width="12.85546875" style="86" customWidth="1"/>
    <col min="20" max="20" width="5.85546875" style="77" customWidth="1"/>
    <col min="21" max="21" width="36.5703125" style="85" customWidth="1"/>
    <col min="22" max="22" width="13.28515625" style="77" customWidth="1"/>
    <col min="23" max="23" width="6.85546875" style="77" customWidth="1"/>
    <col min="24" max="24" width="5" style="77" customWidth="1"/>
    <col min="25" max="25" width="5.5703125" style="77" customWidth="1"/>
    <col min="26" max="26" width="7.140625" style="77" customWidth="1"/>
    <col min="27" max="27" width="6.7109375" style="77" customWidth="1"/>
    <col min="28" max="28" width="7.5703125" style="77" customWidth="1"/>
    <col min="29" max="29" width="26.140625" style="77" customWidth="1"/>
    <col min="30" max="30" width="9.28515625" style="77" customWidth="1"/>
    <col min="31" max="31" width="5.5703125" style="77" customWidth="1"/>
    <col min="32" max="32" width="10.42578125" style="77" customWidth="1"/>
    <col min="33" max="33" width="6.5703125" style="77" customWidth="1"/>
    <col min="34" max="34" width="9.140625" style="77" customWidth="1"/>
    <col min="35" max="35" width="8.42578125" style="77" customWidth="1"/>
    <col min="36" max="36" width="10.85546875" style="77" customWidth="1"/>
    <col min="37" max="37" width="7.28515625" style="86" customWidth="1"/>
    <col min="38" max="38" width="26" style="77" customWidth="1"/>
    <col min="39" max="39" width="16" style="77" customWidth="1"/>
    <col min="40" max="40" width="13.85546875" style="77" customWidth="1"/>
    <col min="41" max="41" width="18.5703125" style="77" customWidth="1"/>
    <col min="42" max="42" width="27.28515625" style="77" customWidth="1"/>
    <col min="43" max="43" width="9.28515625" style="77" customWidth="1"/>
    <col min="44" max="73" width="11.42578125" style="701"/>
    <col min="74" max="16384" width="11.42578125" style="77"/>
  </cols>
  <sheetData>
    <row r="2" spans="2:75" ht="16.5" customHeight="1" x14ac:dyDescent="0.2">
      <c r="B2" s="502" t="s">
        <v>681</v>
      </c>
      <c r="C2" s="503"/>
      <c r="D2" s="503"/>
      <c r="E2" s="504"/>
      <c r="F2" s="511" t="s">
        <v>199</v>
      </c>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3"/>
      <c r="AO2" s="537"/>
      <c r="AP2" s="537"/>
      <c r="AQ2" s="537"/>
      <c r="BV2" s="76"/>
      <c r="BW2" s="76"/>
    </row>
    <row r="3" spans="2:75" ht="24" customHeight="1" x14ac:dyDescent="0.2">
      <c r="B3" s="505"/>
      <c r="C3" s="506"/>
      <c r="D3" s="506"/>
      <c r="E3" s="507"/>
      <c r="F3" s="514"/>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6"/>
      <c r="AO3" s="537"/>
      <c r="AP3" s="537"/>
      <c r="AQ3" s="537"/>
      <c r="BV3" s="76"/>
      <c r="BW3" s="76"/>
    </row>
    <row r="4" spans="2:75" ht="15" customHeight="1" x14ac:dyDescent="0.2">
      <c r="B4" s="508" t="s">
        <v>200</v>
      </c>
      <c r="C4" s="509"/>
      <c r="D4" s="509"/>
      <c r="E4" s="510"/>
      <c r="F4" s="517" t="s">
        <v>217</v>
      </c>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9"/>
      <c r="AO4" s="538">
        <v>45070</v>
      </c>
      <c r="AP4" s="539"/>
      <c r="AQ4" s="539"/>
      <c r="BV4" s="76"/>
      <c r="BW4" s="76"/>
    </row>
    <row r="5" spans="2:75" ht="9.75" customHeight="1" x14ac:dyDescent="0.2">
      <c r="D5" s="127"/>
      <c r="E5" s="127"/>
      <c r="F5" s="127"/>
      <c r="G5" s="333"/>
      <c r="H5" s="332"/>
      <c r="I5" s="334"/>
      <c r="J5" s="334"/>
      <c r="K5" s="334"/>
      <c r="L5" s="334"/>
      <c r="M5" s="334"/>
      <c r="N5" s="334"/>
      <c r="O5" s="334"/>
      <c r="P5" s="334"/>
      <c r="Q5" s="334"/>
      <c r="R5" s="334"/>
      <c r="S5" s="332"/>
      <c r="T5" s="334"/>
      <c r="U5" s="332"/>
      <c r="V5" s="334"/>
      <c r="W5" s="334"/>
      <c r="X5" s="334"/>
      <c r="Y5" s="334"/>
      <c r="Z5" s="334"/>
      <c r="AA5" s="334"/>
      <c r="AB5" s="334"/>
      <c r="AC5" s="334"/>
      <c r="AD5" s="334"/>
      <c r="AE5" s="334"/>
      <c r="AF5" s="334"/>
      <c r="AG5" s="334"/>
      <c r="AH5" s="334"/>
      <c r="AI5" s="334"/>
      <c r="AJ5" s="334"/>
      <c r="AK5" s="332"/>
      <c r="AL5" s="335"/>
      <c r="AM5" s="335"/>
      <c r="AN5" s="336"/>
      <c r="AO5" s="335"/>
      <c r="AP5" s="335"/>
      <c r="AQ5" s="337"/>
      <c r="BV5" s="76"/>
      <c r="BW5" s="76"/>
    </row>
    <row r="6" spans="2:75" ht="15" customHeight="1" x14ac:dyDescent="0.2">
      <c r="D6" s="527" t="s">
        <v>132</v>
      </c>
      <c r="E6" s="528"/>
      <c r="F6" s="528"/>
      <c r="G6" s="528"/>
      <c r="H6" s="528"/>
      <c r="I6" s="528"/>
      <c r="J6" s="528"/>
      <c r="K6" s="529"/>
      <c r="L6" s="542" t="s">
        <v>133</v>
      </c>
      <c r="M6" s="543"/>
      <c r="N6" s="543"/>
      <c r="O6" s="543"/>
      <c r="P6" s="543"/>
      <c r="Q6" s="543"/>
      <c r="R6" s="543"/>
      <c r="S6" s="544"/>
      <c r="T6" s="551" t="s">
        <v>134</v>
      </c>
      <c r="U6" s="552"/>
      <c r="V6" s="552"/>
      <c r="W6" s="552"/>
      <c r="X6" s="552"/>
      <c r="Y6" s="552"/>
      <c r="Z6" s="552"/>
      <c r="AA6" s="552"/>
      <c r="AB6" s="552"/>
      <c r="AC6" s="553"/>
      <c r="AD6" s="535" t="s">
        <v>135</v>
      </c>
      <c r="AE6" s="535"/>
      <c r="AF6" s="535"/>
      <c r="AG6" s="535"/>
      <c r="AH6" s="535"/>
      <c r="AI6" s="535"/>
      <c r="AJ6" s="536"/>
      <c r="AK6" s="536"/>
      <c r="AL6" s="534" t="s">
        <v>32</v>
      </c>
      <c r="AM6" s="534"/>
      <c r="AN6" s="534"/>
      <c r="AO6" s="534"/>
      <c r="AP6" s="534"/>
      <c r="AQ6" s="534"/>
    </row>
    <row r="7" spans="2:75" ht="16.5" customHeight="1" x14ac:dyDescent="0.2">
      <c r="B7" s="497" t="s">
        <v>184</v>
      </c>
      <c r="C7" s="497" t="s">
        <v>202</v>
      </c>
      <c r="D7" s="524" t="s">
        <v>201</v>
      </c>
      <c r="E7" s="499" t="s">
        <v>0</v>
      </c>
      <c r="F7" s="499" t="s">
        <v>220</v>
      </c>
      <c r="G7" s="526" t="s">
        <v>221</v>
      </c>
      <c r="H7" s="497" t="s">
        <v>203</v>
      </c>
      <c r="I7" s="497" t="s">
        <v>222</v>
      </c>
      <c r="J7" s="497" t="s">
        <v>223</v>
      </c>
      <c r="K7" s="497" t="s">
        <v>224</v>
      </c>
      <c r="L7" s="520" t="s">
        <v>128</v>
      </c>
      <c r="M7" s="520" t="s">
        <v>31</v>
      </c>
      <c r="N7" s="522" t="s">
        <v>3</v>
      </c>
      <c r="O7" s="521" t="s">
        <v>82</v>
      </c>
      <c r="P7" s="521" t="s">
        <v>87</v>
      </c>
      <c r="Q7" s="520" t="s">
        <v>40</v>
      </c>
      <c r="R7" s="522" t="s">
        <v>3</v>
      </c>
      <c r="S7" s="520" t="s">
        <v>43</v>
      </c>
      <c r="T7" s="549" t="s">
        <v>9</v>
      </c>
      <c r="U7" s="547" t="s">
        <v>153</v>
      </c>
      <c r="V7" s="547" t="s">
        <v>10</v>
      </c>
      <c r="W7" s="531" t="s">
        <v>6</v>
      </c>
      <c r="X7" s="532"/>
      <c r="Y7" s="532"/>
      <c r="Z7" s="532"/>
      <c r="AA7" s="532"/>
      <c r="AB7" s="532"/>
      <c r="AC7" s="533"/>
      <c r="AD7" s="554" t="s">
        <v>131</v>
      </c>
      <c r="AE7" s="545" t="s">
        <v>41</v>
      </c>
      <c r="AF7" s="545" t="s">
        <v>3</v>
      </c>
      <c r="AG7" s="545" t="s">
        <v>42</v>
      </c>
      <c r="AH7" s="545" t="s">
        <v>3</v>
      </c>
      <c r="AI7" s="545" t="s">
        <v>44</v>
      </c>
      <c r="AJ7" s="545" t="s">
        <v>44</v>
      </c>
      <c r="AK7" s="545" t="s">
        <v>27</v>
      </c>
      <c r="AL7" s="540" t="s">
        <v>32</v>
      </c>
      <c r="AM7" s="540" t="s">
        <v>33</v>
      </c>
      <c r="AN7" s="540" t="s">
        <v>34</v>
      </c>
      <c r="AO7" s="540" t="s">
        <v>35</v>
      </c>
      <c r="AP7" s="540" t="s">
        <v>198</v>
      </c>
      <c r="AQ7" s="540" t="s">
        <v>36</v>
      </c>
    </row>
    <row r="8" spans="2:75" s="78" customFormat="1" ht="114.75" customHeight="1" x14ac:dyDescent="0.25">
      <c r="B8" s="498"/>
      <c r="C8" s="498"/>
      <c r="D8" s="525"/>
      <c r="E8" s="500"/>
      <c r="F8" s="500"/>
      <c r="G8" s="497"/>
      <c r="H8" s="498"/>
      <c r="I8" s="498"/>
      <c r="J8" s="498"/>
      <c r="K8" s="498"/>
      <c r="L8" s="521"/>
      <c r="M8" s="521"/>
      <c r="N8" s="523"/>
      <c r="O8" s="530"/>
      <c r="P8" s="530"/>
      <c r="Q8" s="523"/>
      <c r="R8" s="523"/>
      <c r="S8" s="521"/>
      <c r="T8" s="550"/>
      <c r="U8" s="548"/>
      <c r="V8" s="548"/>
      <c r="W8" s="122" t="s">
        <v>11</v>
      </c>
      <c r="X8" s="122" t="s">
        <v>15</v>
      </c>
      <c r="Y8" s="122" t="s">
        <v>26</v>
      </c>
      <c r="Z8" s="122" t="s">
        <v>16</v>
      </c>
      <c r="AA8" s="122" t="s">
        <v>19</v>
      </c>
      <c r="AB8" s="122" t="s">
        <v>22</v>
      </c>
      <c r="AC8" s="122" t="s">
        <v>197</v>
      </c>
      <c r="AD8" s="555"/>
      <c r="AE8" s="546"/>
      <c r="AF8" s="546"/>
      <c r="AG8" s="546"/>
      <c r="AH8" s="546"/>
      <c r="AI8" s="546"/>
      <c r="AJ8" s="546"/>
      <c r="AK8" s="546"/>
      <c r="AL8" s="541"/>
      <c r="AM8" s="541"/>
      <c r="AN8" s="541"/>
      <c r="AO8" s="541"/>
      <c r="AP8" s="541"/>
      <c r="AQ8" s="541"/>
      <c r="AR8" s="702"/>
      <c r="AS8" s="702"/>
      <c r="AT8" s="702"/>
      <c r="AU8" s="702"/>
      <c r="AV8" s="702"/>
      <c r="AW8" s="703"/>
      <c r="AX8" s="702"/>
      <c r="AY8" s="702"/>
      <c r="AZ8" s="702"/>
      <c r="BA8" s="702"/>
      <c r="BB8" s="702"/>
      <c r="BC8" s="702"/>
      <c r="BD8" s="702"/>
      <c r="BE8" s="702"/>
      <c r="BF8" s="702"/>
      <c r="BG8" s="702"/>
      <c r="BH8" s="702"/>
      <c r="BI8" s="702"/>
      <c r="BJ8" s="702"/>
      <c r="BK8" s="702"/>
      <c r="BL8" s="702"/>
      <c r="BM8" s="702"/>
      <c r="BN8" s="702"/>
      <c r="BO8" s="702"/>
      <c r="BP8" s="702"/>
      <c r="BQ8" s="702"/>
      <c r="BR8" s="702"/>
      <c r="BS8" s="702"/>
      <c r="BT8" s="702"/>
      <c r="BU8" s="702"/>
    </row>
    <row r="9" spans="2:75" s="80" customFormat="1" ht="155.25" customHeight="1" x14ac:dyDescent="0.25">
      <c r="B9" s="425" t="s">
        <v>225</v>
      </c>
      <c r="C9" s="428" t="s">
        <v>225</v>
      </c>
      <c r="D9" s="393">
        <v>1</v>
      </c>
      <c r="E9" s="494" t="s">
        <v>226</v>
      </c>
      <c r="F9" s="425" t="s">
        <v>227</v>
      </c>
      <c r="G9" s="387" t="s">
        <v>566</v>
      </c>
      <c r="H9" s="394" t="s">
        <v>563</v>
      </c>
      <c r="I9" s="394" t="s">
        <v>565</v>
      </c>
      <c r="J9" s="387" t="s">
        <v>228</v>
      </c>
      <c r="K9" s="394" t="s">
        <v>624</v>
      </c>
      <c r="L9" s="394">
        <v>2</v>
      </c>
      <c r="M9" s="395" t="str">
        <f>IF(L9&lt;=0,"",IF(L9&lt;=2,"Muy Baja",IF(L9&lt;=24,"Baja",IF(L9&lt;=500,"Media",IF(L9&lt;=5000,"Alta","Muy Alta")))))</f>
        <v>Muy Baja</v>
      </c>
      <c r="N9" s="405">
        <f>IF(M9="","",IF(M9="Muy Baja",0.2,IF(M9="Baja",0.4,IF(M9="Media",0.6,IF(M9="Alta",0.8,IF(M9="Muy Alta",1,))))))</f>
        <v>0.2</v>
      </c>
      <c r="O9" s="406" t="s">
        <v>145</v>
      </c>
      <c r="P9" s="405" t="s">
        <v>145</v>
      </c>
      <c r="Q9" s="395" t="str">
        <f>IF(OR(P9='Tabla Impacto'!$C$11,P9='Tabla Impacto'!$D$11),"Leve",IF(OR(P9='Tabla Impacto'!$C$12,P9='Tabla Impacto'!$D$12),"Menor",IF(OR(P9='Tabla Impacto'!$C$13,P9='Tabla Impacto'!$D$13),"Moderado",IF(OR(P9='Tabla Impacto'!$C$14,P9='Tabla Impacto'!$D$14),"Mayor",IF(OR(P9='Tabla Impacto'!$C$15,P9='Tabla Impacto'!$D$15),"Catastrófico","")))))</f>
        <v>Moderado</v>
      </c>
      <c r="R9" s="405">
        <f>IF(Q9="","",IF(Q9="Leve",0.2,IF(Q9="Menor",0.4,IF(Q9="Moderado",0.6,IF(Q9="Mayor",0.8,IF(Q9="Catastrófico",1,))))))</f>
        <v>0.6</v>
      </c>
      <c r="S9" s="384" t="str">
        <f>IF(OR(AND(M9="Muy Baja",Q9="Leve"),AND(M9="Muy Baja",Q9="Menor"),AND(M9="Baja",Q9="Leve")),"Bajo",IF(OR(AND(M9="Muy baja",Q9="Moderado"),AND(M9="Baja",Q9="Menor"),AND(M9="Baja",Q9="Moderado"),AND(M9="Media",Q9="Leve"),AND(M9="Media",Q9="Menor"),AND(M9="Media",Q9="Moderado"),AND(M9="Alta",Q9="Leve"),AND(M9="Alta",Q9="Menor")),"Moderado",IF(OR(AND(M9="Muy Baja",Q9="Mayor"),AND(M9="Baja",Q9="Mayor"),AND(M9="Media",Q9="Mayor"),AND(M9="Alta",Q9="Moderado"),AND(M9="Alta",Q9="Mayor"),AND(M9="Muy Alta",Q9="Leve"),AND(M9="Muy Alta",Q9="Menor"),AND(M9="Muy Alta",Q9="Moderado"),AND(M9="Muy Alta",Q9="Mayor")),"Alto",IF(OR(AND(M9="Muy Baja",Q9="Catastrófico"),AND(M9="Baja",Q9="Catastrófico"),AND(M9="Media",Q9="Catastrófico"),AND(M9="Alta",Q9="Catastrófico"),AND(M9="Muy Alta",Q9="Catastrófico")),"Extremo",""))))</f>
        <v>Moderado</v>
      </c>
      <c r="T9" s="143">
        <v>1</v>
      </c>
      <c r="U9" s="140" t="s">
        <v>229</v>
      </c>
      <c r="V9" s="124" t="str">
        <f t="shared" ref="V9:V13" si="0">IF(OR(W9="Preventivo",W9="Detectivo"),"Probabilidad",IF(W9="Correctivo","Impacto",""))</f>
        <v>Probabilidad</v>
      </c>
      <c r="W9" s="125" t="s">
        <v>12</v>
      </c>
      <c r="X9" s="125" t="s">
        <v>7</v>
      </c>
      <c r="Y9" s="81" t="str">
        <f>IF(AND(W9="Preventivo",X9="Automático"),"50%",IF(AND(W9="Preventivo",X9="Manual"),"40%",IF(AND(W9="Detectivo",X9="Automático"),"40%",IF(AND(W9="Detectivo",X9="Manual"),"30%",IF(AND(W9="Correctivo",X9="Automático"),"35%",IF(AND(W9="Correctivo",X9="Manual"),"25%",""))))))</f>
        <v>40%</v>
      </c>
      <c r="Z9" s="125" t="s">
        <v>17</v>
      </c>
      <c r="AA9" s="125" t="s">
        <v>20</v>
      </c>
      <c r="AB9" s="125" t="s">
        <v>114</v>
      </c>
      <c r="AC9" s="123" t="s">
        <v>231</v>
      </c>
      <c r="AD9" s="126">
        <f>IFERROR(IF(V9="Probabilidad",(N9-(+N9*Y9)),IF(V9="Impacto",N9,"")),"")</f>
        <v>0.12</v>
      </c>
      <c r="AE9" s="82" t="str">
        <f>IFERROR(IF(AD9="","",IF(AD9&lt;=0.2,"Muy Baja",IF(AD9&lt;=0.4,"Baja",IF(AD9&lt;=0.6,"Media",IF(AD9&lt;=0.8,"Alta","Muy Alta"))))),"")</f>
        <v>Muy Baja</v>
      </c>
      <c r="AF9" s="81">
        <f>+AD9</f>
        <v>0.12</v>
      </c>
      <c r="AG9" s="82" t="str">
        <f t="shared" ref="AG9:AG14" si="1">IFERROR(IF(AH9="","",IF(AH9&lt;=0.2,"Leve",IF(AH9&lt;=0.4,"Menor",IF(AH9&lt;=0.6,"Moderado",IF(AH9&lt;=0.8,"Mayor","Catastrófico"))))),"")</f>
        <v>Moderado</v>
      </c>
      <c r="AH9" s="81">
        <f>IFERROR(IF(V9="Impacto",(R9-(+R9*Y9)),IF(V9="Probabilidad",R9,"")),"")</f>
        <v>0.6</v>
      </c>
      <c r="AI9" s="83" t="str">
        <f t="shared" ref="AI9:AI13" si="2">IFERROR(IF(OR(AND(AE9="Muy Baja",AG9="Leve"),AND(AE9="Muy Baja",AG9="Menor"),AND(AE9="Baja",AG9="Leve")),"Bajo",IF(OR(AND(AE9="Muy baja",AG9="Moderado"),AND(AE9="Baja",AG9="Menor"),AND(AE9="Baja",AG9="Moderado"),AND(AE9="Media",AG9="Leve"),AND(AE9="Media",AG9="Menor"),AND(AE9="Media",AG9="Moderado"),AND(AE9="Alta",AG9="Leve"),AND(AE9="Alta",AG9="Menor")),"Moderado",IF(OR(AND(AE9="Muy Baja",AG9="Mayor"),AND(AE9="Baja",AG9="Mayor"),AND(AE9="Media",AG9="Mayor"),AND(AE9="Alta",AG9="Moderado"),AND(AE9="Alta",AG9="Mayor"),AND(AE9="Muy Alta",AG9="Leve"),AND(AE9="Muy Alta",AG9="Menor"),AND(AE9="Muy Alta",AG9="Moderado"),AND(AE9="Muy Alta",AG9="Mayor")),"Alto",IF(OR(AND(AE9="Muy Baja",AG9="Catastrófico"),AND(AE9="Baja",AG9="Catastrófico"),AND(AE9="Media",AG9="Catastrófico"),AND(AE9="Alta",AG9="Catastrófico"),AND(AE9="Muy Alta",AG9="Catastrófico")),"Extremo","")))),"")</f>
        <v>Moderado</v>
      </c>
      <c r="AJ9" s="436" t="str">
        <f>AI10</f>
        <v>Moderado</v>
      </c>
      <c r="AK9" s="401" t="s">
        <v>30</v>
      </c>
      <c r="AL9" s="140"/>
      <c r="AM9" s="140"/>
      <c r="AN9" s="84"/>
      <c r="AO9" s="84"/>
      <c r="AP9" s="140"/>
      <c r="AQ9" s="142"/>
      <c r="AR9" s="704"/>
      <c r="AS9" s="704"/>
      <c r="AT9" s="704"/>
      <c r="AU9" s="704"/>
      <c r="AV9" s="704" t="s">
        <v>29</v>
      </c>
      <c r="AW9" s="704"/>
      <c r="AX9" s="704"/>
      <c r="AY9" s="704"/>
      <c r="AZ9" s="704"/>
      <c r="BA9" s="704"/>
      <c r="BB9" s="704"/>
      <c r="BC9" s="704"/>
      <c r="BD9" s="704"/>
      <c r="BE9" s="704"/>
      <c r="BF9" s="704"/>
      <c r="BG9" s="704"/>
      <c r="BH9" s="704"/>
      <c r="BI9" s="704"/>
      <c r="BJ9" s="704"/>
      <c r="BK9" s="704"/>
      <c r="BL9" s="704"/>
      <c r="BM9" s="704"/>
      <c r="BN9" s="704"/>
      <c r="BO9" s="704"/>
      <c r="BP9" s="704"/>
      <c r="BQ9" s="704"/>
      <c r="BR9" s="704"/>
      <c r="BS9" s="704"/>
      <c r="BT9" s="704"/>
      <c r="BU9" s="704"/>
      <c r="BV9" s="79"/>
      <c r="BW9" s="79"/>
    </row>
    <row r="10" spans="2:75" ht="146.25" customHeight="1" x14ac:dyDescent="0.2">
      <c r="B10" s="425"/>
      <c r="C10" s="428"/>
      <c r="D10" s="393"/>
      <c r="E10" s="495"/>
      <c r="F10" s="393"/>
      <c r="G10" s="387"/>
      <c r="H10" s="394"/>
      <c r="I10" s="394"/>
      <c r="J10" s="387"/>
      <c r="K10" s="394"/>
      <c r="L10" s="394"/>
      <c r="M10" s="395"/>
      <c r="N10" s="405"/>
      <c r="O10" s="406"/>
      <c r="P10" s="405"/>
      <c r="Q10" s="395"/>
      <c r="R10" s="405"/>
      <c r="S10" s="384"/>
      <c r="T10" s="143">
        <v>2</v>
      </c>
      <c r="U10" s="338" t="s">
        <v>230</v>
      </c>
      <c r="V10" s="124" t="str">
        <f t="shared" si="0"/>
        <v>Probabilidad</v>
      </c>
      <c r="W10" s="157" t="s">
        <v>12</v>
      </c>
      <c r="X10" s="157" t="s">
        <v>7</v>
      </c>
      <c r="Y10" s="81" t="str">
        <f t="shared" ref="Y10" si="3">IF(AND(W10="Preventivo",X10="Automático"),"50%",IF(AND(W10="Preventivo",X10="Manual"),"40%",IF(AND(W10="Detectivo",X10="Automático"),"40%",IF(AND(W10="Detectivo",X10="Manual"),"30%",IF(AND(W10="Correctivo",X10="Automático"),"35%",IF(AND(W10="Correctivo",X10="Manual"),"25%",""))))))</f>
        <v>40%</v>
      </c>
      <c r="Z10" s="157" t="s">
        <v>17</v>
      </c>
      <c r="AA10" s="157" t="s">
        <v>20</v>
      </c>
      <c r="AB10" s="157" t="s">
        <v>114</v>
      </c>
      <c r="AC10" s="123" t="s">
        <v>231</v>
      </c>
      <c r="AD10" s="126">
        <f>IFERROR(IF(AND(V9="Probabilidad",V10="Probabilidad"),(AF9-(+AF9*Y10)),IF(V10="Probabilidad",(N9-(+N9*Y10)),IF(V10="Impacto",AF9,""))),"")</f>
        <v>7.1999999999999995E-2</v>
      </c>
      <c r="AE10" s="82" t="str">
        <f t="shared" ref="AE10" si="4">IFERROR(IF(AD10="","",IF(AD10&lt;=0.2,"Muy Baja",IF(AD10&lt;=0.4,"Baja",IF(AD10&lt;=0.6,"Media",IF(AD10&lt;=0.8,"Alta","Muy Alta"))))),"")</f>
        <v>Muy Baja</v>
      </c>
      <c r="AF10" s="81">
        <f t="shared" ref="AF10" si="5">+AD10</f>
        <v>7.1999999999999995E-2</v>
      </c>
      <c r="AG10" s="82" t="str">
        <f t="shared" si="1"/>
        <v>Moderado</v>
      </c>
      <c r="AH10" s="81">
        <f>IFERROR(IF(AND(V9="Impacto",V10="Impacto"),(AH9-(+AH9*Y10)),IF(V10="Impacto",($L$10-(+$L$10*Y10)),IF(V10="Probabilidad",AH9,""))),"")</f>
        <v>0.6</v>
      </c>
      <c r="AI10" s="83" t="str">
        <f t="shared" si="2"/>
        <v>Moderado</v>
      </c>
      <c r="AJ10" s="438"/>
      <c r="AK10" s="489"/>
      <c r="AL10" s="140"/>
      <c r="AM10" s="142"/>
      <c r="AN10" s="84"/>
      <c r="AO10" s="84"/>
      <c r="AP10" s="140"/>
      <c r="AQ10" s="142"/>
      <c r="AV10" s="701" t="s">
        <v>30</v>
      </c>
      <c r="BV10" s="76"/>
      <c r="BW10" s="76"/>
    </row>
    <row r="11" spans="2:75" ht="249.75" customHeight="1" x14ac:dyDescent="0.2">
      <c r="B11" s="425"/>
      <c r="C11" s="428"/>
      <c r="D11" s="393">
        <v>2</v>
      </c>
      <c r="E11" s="501" t="s">
        <v>232</v>
      </c>
      <c r="F11" s="425" t="s">
        <v>233</v>
      </c>
      <c r="G11" s="389" t="s">
        <v>567</v>
      </c>
      <c r="H11" s="393" t="s">
        <v>564</v>
      </c>
      <c r="I11" s="393" t="s">
        <v>565</v>
      </c>
      <c r="J11" s="387" t="s">
        <v>228</v>
      </c>
      <c r="K11" s="394" t="s">
        <v>624</v>
      </c>
      <c r="L11" s="394">
        <v>12</v>
      </c>
      <c r="M11" s="395" t="str">
        <f>IF(L11&lt;=0,"",IF(L11&lt;=2,"Muy Baja",IF(L11&lt;=24,"Baja",IF(L11&lt;=500,"Media",IF(L11&lt;=5000,"Alta","Muy Alta")))))</f>
        <v>Baja</v>
      </c>
      <c r="N11" s="405">
        <f>IF(M11="","",IF(M11="Muy Baja",0.2,IF(M11="Baja",0.4,IF(M11="Media",0.6,IF(M11="Alta",0.8,IF(M11="Muy Alta",1,))))))</f>
        <v>0.4</v>
      </c>
      <c r="O11" s="406" t="s">
        <v>143</v>
      </c>
      <c r="P11" s="405" t="s">
        <v>143</v>
      </c>
      <c r="Q11" s="395" t="str">
        <f>IF(OR(P11='Tabla Impacto'!$C$11,P11='Tabla Impacto'!$D$11),"Leve",IF(OR(P11='Tabla Impacto'!$C$12,P11='Tabla Impacto'!$D$12),"Menor",IF(OR(P11='Tabla Impacto'!$C$13,P11='Tabla Impacto'!$D$13),"Moderado",IF(OR(P11='Tabla Impacto'!$C$14,P11='Tabla Impacto'!$D$14),"Mayor",IF(OR(P11='Tabla Impacto'!$C$15,P11='Tabla Impacto'!$D$15),"Catastrófico","")))))</f>
        <v>Leve</v>
      </c>
      <c r="R11" s="405">
        <f>IF(Q11="","",IF(Q11="Leve",0.2,IF(Q11="Menor",0.4,IF(Q11="Moderado",0.6,IF(Q11="Mayor",0.8,IF(Q11="Catastrófico",1,))))))</f>
        <v>0.2</v>
      </c>
      <c r="S11" s="384" t="str">
        <f>IF(OR(AND(M11="Muy Baja",Q11="Leve"),AND(M11="Muy Baja",Q11="Menor"),AND(M11="Baja",Q11="Leve")),"Bajo",IF(OR(AND(M11="Muy baja",Q11="Moderado"),AND(M11="Baja",Q11="Menor"),AND(M11="Baja",Q11="Moderado"),AND(M11="Media",Q11="Leve"),AND(M11="Media",Q11="Menor"),AND(M11="Media",Q11="Moderado"),AND(M11="Alta",Q11="Leve"),AND(M11="Alta",Q11="Menor")),"Moderado",IF(OR(AND(M11="Muy Baja",Q11="Mayor"),AND(M11="Baja",Q11="Mayor"),AND(M11="Media",Q11="Mayor"),AND(M11="Alta",Q11="Moderado"),AND(M11="Alta",Q11="Mayor"),AND(M11="Muy Alta",Q11="Leve"),AND(M11="Muy Alta",Q11="Menor"),AND(M11="Muy Alta",Q11="Moderado"),AND(M11="Muy Alta",Q11="Mayor")),"Alto",IF(OR(AND(M11="Muy Baja",Q11="Catastrófico"),AND(M11="Baja",Q11="Catastrófico"),AND(M11="Media",Q11="Catastrófico"),AND(M11="Alta",Q11="Catastrófico"),AND(M11="Muy Alta",Q11="Catastrófico")),"Extremo",""))))</f>
        <v>Bajo</v>
      </c>
      <c r="T11" s="158">
        <v>1</v>
      </c>
      <c r="U11" s="140" t="s">
        <v>234</v>
      </c>
      <c r="V11" s="124" t="str">
        <f t="shared" si="0"/>
        <v>Probabilidad</v>
      </c>
      <c r="W11" s="125" t="s">
        <v>12</v>
      </c>
      <c r="X11" s="125" t="s">
        <v>7</v>
      </c>
      <c r="Y11" s="81" t="str">
        <f>IF(AND(W11="Preventivo",X11="Automático"),"50%",IF(AND(W11="Preventivo",X11="Manual"),"40%",IF(AND(W11="Detectivo",X11="Automático"),"40%",IF(AND(W11="Detectivo",X11="Manual"),"30%",IF(AND(W11="Correctivo",X11="Automático"),"35%",IF(AND(W11="Correctivo",X11="Manual"),"25%",""))))))</f>
        <v>40%</v>
      </c>
      <c r="Z11" s="125" t="s">
        <v>17</v>
      </c>
      <c r="AA11" s="125" t="s">
        <v>20</v>
      </c>
      <c r="AB11" s="125" t="s">
        <v>114</v>
      </c>
      <c r="AC11" s="123" t="s">
        <v>235</v>
      </c>
      <c r="AD11" s="126">
        <f>IFERROR(IF(V11="Probabilidad",(N11-(+N11*Y11)),IF(V11="Impacto",N11,"")),"")</f>
        <v>0.24</v>
      </c>
      <c r="AE11" s="82" t="str">
        <f>IFERROR(IF(AD11="","",IF(AD11&lt;=0.2,"Muy Baja",IF(AD11&lt;=0.4,"Baja",IF(AD11&lt;=0.6,"Media",IF(AD11&lt;=0.8,"Alta","Muy Alta"))))),"")</f>
        <v>Baja</v>
      </c>
      <c r="AF11" s="81">
        <f>+AD11</f>
        <v>0.24</v>
      </c>
      <c r="AG11" s="82" t="str">
        <f t="shared" si="1"/>
        <v>Leve</v>
      </c>
      <c r="AH11" s="81">
        <f>IFERROR(IF(V11="Impacto",(R11-(+R11*Y11)),IF(V11="Probabilidad",R11,"")),"")</f>
        <v>0.2</v>
      </c>
      <c r="AI11" s="83" t="str">
        <f t="shared" si="2"/>
        <v>Bajo</v>
      </c>
      <c r="AJ11" s="436" t="str">
        <f>+AI13</f>
        <v>Bajo</v>
      </c>
      <c r="AK11" s="401" t="s">
        <v>29</v>
      </c>
      <c r="AL11" s="158"/>
      <c r="AM11" s="158"/>
      <c r="AN11" s="158"/>
      <c r="AO11" s="158"/>
      <c r="AP11" s="158"/>
      <c r="AQ11" s="158"/>
      <c r="AV11" s="701" t="s">
        <v>130</v>
      </c>
    </row>
    <row r="12" spans="2:75" ht="163.5" customHeight="1" x14ac:dyDescent="0.2">
      <c r="B12" s="425"/>
      <c r="C12" s="428"/>
      <c r="D12" s="393"/>
      <c r="E12" s="501"/>
      <c r="F12" s="425"/>
      <c r="G12" s="496"/>
      <c r="H12" s="393"/>
      <c r="I12" s="393"/>
      <c r="J12" s="387"/>
      <c r="K12" s="394"/>
      <c r="L12" s="394"/>
      <c r="M12" s="395"/>
      <c r="N12" s="405"/>
      <c r="O12" s="406"/>
      <c r="P12" s="405"/>
      <c r="Q12" s="395"/>
      <c r="R12" s="405"/>
      <c r="S12" s="384"/>
      <c r="T12" s="158">
        <v>2</v>
      </c>
      <c r="U12" s="140" t="s">
        <v>236</v>
      </c>
      <c r="V12" s="124" t="str">
        <f t="shared" si="0"/>
        <v>Probabilidad</v>
      </c>
      <c r="W12" s="125" t="s">
        <v>12</v>
      </c>
      <c r="X12" s="125" t="s">
        <v>7</v>
      </c>
      <c r="Y12" s="81" t="str">
        <f t="shared" ref="Y12:Y13" si="6">IF(AND(W12="Preventivo",X12="Automático"),"50%",IF(AND(W12="Preventivo",X12="Manual"),"40%",IF(AND(W12="Detectivo",X12="Automático"),"40%",IF(AND(W12="Detectivo",X12="Manual"),"30%",IF(AND(W12="Correctivo",X12="Automático"),"35%",IF(AND(W12="Correctivo",X12="Manual"),"25%",""))))))</f>
        <v>40%</v>
      </c>
      <c r="Z12" s="125" t="s">
        <v>17</v>
      </c>
      <c r="AA12" s="125" t="s">
        <v>20</v>
      </c>
      <c r="AB12" s="125" t="s">
        <v>114</v>
      </c>
      <c r="AC12" s="123" t="s">
        <v>237</v>
      </c>
      <c r="AD12" s="126">
        <f>IFERROR(IF(AND(V11="Probabilidad",V12="Probabilidad"),(AF11-(+AF11*Y12)),IF(V12="Probabilidad",(N11-(+N11*Y12)),IF(V12="Impacto",AF11,""))),"")</f>
        <v>0.14399999999999999</v>
      </c>
      <c r="AE12" s="82" t="str">
        <f t="shared" ref="AE12:AE13" si="7">IFERROR(IF(AD12="","",IF(AD12&lt;=0.2,"Muy Baja",IF(AD12&lt;=0.4,"Baja",IF(AD12&lt;=0.6,"Media",IF(AD12&lt;=0.8,"Alta","Muy Alta"))))),"")</f>
        <v>Muy Baja</v>
      </c>
      <c r="AF12" s="81">
        <f t="shared" ref="AF12:AF13" si="8">+AD12</f>
        <v>0.14399999999999999</v>
      </c>
      <c r="AG12" s="82" t="str">
        <f t="shared" si="1"/>
        <v>Leve</v>
      </c>
      <c r="AH12" s="81">
        <f>IFERROR(IF(AND(V11="Impacto",V12="Impacto"),(AH11-(+AH11*Y12)),IF(V12="Impacto",($L$10-(+$L$10*Y12)),IF(V12="Probabilidad",AH11,""))),"")</f>
        <v>0.2</v>
      </c>
      <c r="AI12" s="83" t="str">
        <f t="shared" si="2"/>
        <v>Bajo</v>
      </c>
      <c r="AJ12" s="437"/>
      <c r="AK12" s="489"/>
      <c r="AL12" s="158"/>
      <c r="AM12" s="158"/>
      <c r="AN12" s="158"/>
      <c r="AO12" s="158"/>
      <c r="AP12" s="158"/>
      <c r="AQ12" s="158"/>
      <c r="AV12" s="701" t="s">
        <v>129</v>
      </c>
    </row>
    <row r="13" spans="2:75" ht="193.5" customHeight="1" x14ac:dyDescent="0.2">
      <c r="B13" s="425"/>
      <c r="C13" s="428"/>
      <c r="D13" s="393"/>
      <c r="E13" s="501"/>
      <c r="F13" s="425"/>
      <c r="G13" s="390"/>
      <c r="H13" s="393"/>
      <c r="I13" s="393"/>
      <c r="J13" s="387"/>
      <c r="K13" s="394"/>
      <c r="L13" s="394"/>
      <c r="M13" s="395"/>
      <c r="N13" s="405"/>
      <c r="O13" s="406"/>
      <c r="P13" s="405"/>
      <c r="Q13" s="395"/>
      <c r="R13" s="405"/>
      <c r="S13" s="384"/>
      <c r="T13" s="158">
        <v>3</v>
      </c>
      <c r="U13" s="140" t="s">
        <v>238</v>
      </c>
      <c r="V13" s="124" t="str">
        <f t="shared" si="0"/>
        <v>Probabilidad</v>
      </c>
      <c r="W13" s="125" t="s">
        <v>12</v>
      </c>
      <c r="X13" s="125" t="s">
        <v>7</v>
      </c>
      <c r="Y13" s="81" t="str">
        <f t="shared" si="6"/>
        <v>40%</v>
      </c>
      <c r="Z13" s="125" t="s">
        <v>17</v>
      </c>
      <c r="AA13" s="125" t="s">
        <v>20</v>
      </c>
      <c r="AB13" s="125" t="s">
        <v>114</v>
      </c>
      <c r="AC13" s="123" t="s">
        <v>239</v>
      </c>
      <c r="AD13" s="126">
        <f>IFERROR(IF(AND(V12="Probabilidad",V13="Probabilidad"),(AF12-(+AF12*Y13)),IF(V13="Probabilidad",(N12-(+N12*Y13)),IF(V13="Impacto",AF12,""))),"")</f>
        <v>8.6399999999999991E-2</v>
      </c>
      <c r="AE13" s="82" t="str">
        <f t="shared" si="7"/>
        <v>Muy Baja</v>
      </c>
      <c r="AF13" s="81">
        <f t="shared" si="8"/>
        <v>8.6399999999999991E-2</v>
      </c>
      <c r="AG13" s="82" t="str">
        <f t="shared" si="1"/>
        <v>Leve</v>
      </c>
      <c r="AH13" s="81">
        <f>IFERROR(IF(AND(V12="Impacto",V13="Impacto"),(AH12-(+AH12*Y13)),IF(V13="Impacto",($L$10-(+$L$10*Y13)),IF(V13="Probabilidad",AH12,""))),"")</f>
        <v>0.2</v>
      </c>
      <c r="AI13" s="83" t="str">
        <f t="shared" si="2"/>
        <v>Bajo</v>
      </c>
      <c r="AJ13" s="438"/>
      <c r="AK13" s="402"/>
      <c r="AL13" s="158"/>
      <c r="AM13" s="158"/>
      <c r="AN13" s="158"/>
      <c r="AO13" s="158"/>
      <c r="AP13" s="158"/>
      <c r="AQ13" s="158"/>
    </row>
    <row r="14" spans="2:75" ht="120" customHeight="1" x14ac:dyDescent="0.2">
      <c r="B14" s="425" t="s">
        <v>240</v>
      </c>
      <c r="C14" s="205" t="s">
        <v>241</v>
      </c>
      <c r="D14" s="143">
        <v>3</v>
      </c>
      <c r="E14" s="211" t="s">
        <v>245</v>
      </c>
      <c r="F14" s="203" t="s">
        <v>255</v>
      </c>
      <c r="G14" s="136" t="s">
        <v>568</v>
      </c>
      <c r="H14" s="143" t="s">
        <v>563</v>
      </c>
      <c r="I14" s="143" t="s">
        <v>565</v>
      </c>
      <c r="J14" s="211" t="s">
        <v>118</v>
      </c>
      <c r="K14" s="143" t="s">
        <v>624</v>
      </c>
      <c r="L14" s="155">
        <v>1980</v>
      </c>
      <c r="M14" s="192" t="str">
        <f>IF(L14&lt;=0,"",IF(L14&lt;=2,"Muy Baja",IF(L14&lt;=24,"Baja",IF(L14&lt;=500,"Media",IF(L14&lt;=5000,"Alta","Muy Alta")))))</f>
        <v>Alta</v>
      </c>
      <c r="N14" s="189">
        <f>IF(M14="","",IF(M14="Muy Baja",0.2,IF(M14="Baja",0.4,IF(M14="Media",0.6,IF(M14="Alta",0.8,IF(M14="Muy Alta",1,))))))</f>
        <v>0.8</v>
      </c>
      <c r="O14" s="156" t="s">
        <v>141</v>
      </c>
      <c r="P14" s="153" t="s">
        <v>141</v>
      </c>
      <c r="Q14" s="196" t="str">
        <f>IF(OR(P11='Tabla Impacto'!$C$11,P11='Tabla Impacto'!$D$11),"Leve",IF(OR(P11='Tabla Impacto'!$C$12,P11='Tabla Impacto'!$D$12),"Menor",IF(OR(P11='Tabla Impacto'!$C$13,P11='Tabla Impacto'!$D$13),"Moderado",IF(OR(P11='Tabla Impacto'!$C$14,P11='Tabla Impacto'!$D$14),"Mayor",IF(OR(P11='Tabla Impacto'!$C$15,P11='Tabla Impacto'!$D$15),"Catastrófico","")))))</f>
        <v>Leve</v>
      </c>
      <c r="R14" s="189">
        <f>IF(Q14="","",IF(Q14="Leve",0.2,IF(Q14="Menor",0.4,IF(Q14="Moderado",0.6,IF(Q14="Mayor",0.8,IF(Q14="Catastrófico",1,))))))</f>
        <v>0.2</v>
      </c>
      <c r="S14" s="247" t="str">
        <f>IF(OR(AND(M14="Muy Baja",Q14="Leve"),AND(M14="Muy Baja",Q14="Menor"),AND(M14="Baja",Q14="Leve")),"Bajo",IF(OR(AND(M14="Muy baja",Q14="Moderado"),AND(M14="Baja",Q14="Menor"),AND(M14="Baja",Q14="Moderado"),AND(M14="Media",Q14="Leve"),AND(M14="Media",Q14="Menor"),AND(M14="Media",Q14="Moderado"),AND(M14="Alta",Q14="Leve"),AND(M14="Alta",Q14="Menor")),"Moderado",IF(OR(AND(M14="Muy Baja",Q14="Mayor"),AND(M14="Baja",Q14="Mayor"),AND(M14="Media",Q14="Mayor"),AND(M14="Alta",Q14="Moderado"),AND(M14="Alta",Q14="Mayor"),AND(M14="Muy Alta",Q14="Leve"),AND(M14="Muy Alta",Q14="Menor"),AND(M14="Muy Alta",Q14="Moderado"),AND(M14="Muy Alta",Q14="Mayor")),"Alto",IF(OR(AND(M14="Muy Baja",Q14="Catastrófico"),AND(M14="Baja",Q14="Catastrófico"),AND(M14="Media",Q14="Catastrófico"),AND(M14="Alta",Q14="Catastrófico"),AND(M14="Muy Alta",Q14="Catastrófico")),"Extremo",""))))</f>
        <v>Moderado</v>
      </c>
      <c r="T14" s="141">
        <v>1</v>
      </c>
      <c r="U14" s="144" t="s">
        <v>266</v>
      </c>
      <c r="V14" s="146" t="str">
        <f>IF(OR(W14="Preventivo",W14="Detectivo"),"Probabilidad",IF(W14="Correctivo","Impacto",""))</f>
        <v>Probabilidad</v>
      </c>
      <c r="W14" s="147" t="s">
        <v>12</v>
      </c>
      <c r="X14" s="147" t="s">
        <v>7</v>
      </c>
      <c r="Y14" s="148" t="str">
        <f>IF(AND(W14="Preventivo",X14="Automático"),"50%",IF(AND(W14="Preventivo",X14="Manual"),"40%",IF(AND(W14="Detectivo",X14="Automático"),"40%",IF(AND(W14="Detectivo",X14="Manual"),"30%",IF(AND(W14="Correctivo",X14="Automático"),"35%",IF(AND(W14="Correctivo",X14="Manual"),"25%",""))))))</f>
        <v>40%</v>
      </c>
      <c r="Z14" s="161" t="s">
        <v>17</v>
      </c>
      <c r="AA14" s="162" t="s">
        <v>20</v>
      </c>
      <c r="AB14" s="163" t="s">
        <v>114</v>
      </c>
      <c r="AC14" s="145" t="s">
        <v>267</v>
      </c>
      <c r="AD14" s="164">
        <f>IFERROR(IF(V14="Probabilidad",(N14-(+N14*Y14)),IF(V14="Impacto",N14,"")),"")</f>
        <v>0.48</v>
      </c>
      <c r="AE14" s="151" t="str">
        <f>IFERROR(IF(AD14="","",IF(AD14&lt;=0.2,"Muy Baja",IF(AD14&lt;=0.4,"Baja",IF(AD14&lt;=0.6,"Media",IF(AD14&lt;=0.8,"Alta","Muy Alta"))))),"")</f>
        <v>Media</v>
      </c>
      <c r="AF14" s="81">
        <f>+AD14</f>
        <v>0.48</v>
      </c>
      <c r="AG14" s="82" t="str">
        <f t="shared" si="1"/>
        <v>Leve</v>
      </c>
      <c r="AH14" s="81">
        <f>IFERROR(IF(V14="Impacto",(R14-(+R14*Y14)),IF(V14="Probabilidad",R14,"")),"")</f>
        <v>0.2</v>
      </c>
      <c r="AI14" s="83" t="str">
        <f>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Moderado</v>
      </c>
      <c r="AJ14" s="167" t="str">
        <f>$AI$14</f>
        <v>Moderado</v>
      </c>
      <c r="AK14" s="234" t="s">
        <v>30</v>
      </c>
      <c r="AL14" s="158"/>
      <c r="AM14" s="158"/>
      <c r="AN14" s="158"/>
      <c r="AO14" s="158"/>
      <c r="AP14" s="158"/>
      <c r="AQ14" s="158"/>
    </row>
    <row r="15" spans="2:75" ht="102" customHeight="1" x14ac:dyDescent="0.2">
      <c r="B15" s="425"/>
      <c r="C15" s="313" t="s">
        <v>242</v>
      </c>
      <c r="D15" s="143">
        <v>4</v>
      </c>
      <c r="E15" s="212" t="s">
        <v>246</v>
      </c>
      <c r="F15" s="213" t="s">
        <v>256</v>
      </c>
      <c r="G15" s="136" t="s">
        <v>570</v>
      </c>
      <c r="H15" s="143" t="s">
        <v>563</v>
      </c>
      <c r="I15" s="143" t="s">
        <v>565</v>
      </c>
      <c r="J15" s="212" t="s">
        <v>118</v>
      </c>
      <c r="K15" s="143" t="s">
        <v>624</v>
      </c>
      <c r="L15" s="142">
        <v>25</v>
      </c>
      <c r="M15" s="192" t="str">
        <f>IF(L15&lt;=0,"",IF(L15&lt;=2,"Muy Baja",IF(L15&lt;=24,"Baja",IF(L15&lt;=500,"Media",IF(L15&lt;=5000,"Alta","Muy Alta")))))</f>
        <v>Media</v>
      </c>
      <c r="N15" s="193">
        <f>IF(M15="","",IF(M15="Muy Baja",0.2,IF(M15="Baja",0.4,IF(M15="Media",0.6,IF(M15="Alta",0.8,IF(M15="Muy Alta",1,))))))</f>
        <v>0.6</v>
      </c>
      <c r="O15" s="194" t="s">
        <v>137</v>
      </c>
      <c r="P15" s="193" t="s">
        <v>137</v>
      </c>
      <c r="Q15" s="192" t="str">
        <f>IF(OR(P11='Tabla Impacto'!$C$11,P11='Tabla Impacto'!$D$11),"Leve",IF(OR(P11='Tabla Impacto'!$C$12,P11='Tabla Impacto'!$D$12),"Menor",IF(OR(P11='Tabla Impacto'!$C$13,P11='Tabla Impacto'!$D$13),"Moderado",IF(OR(P11='Tabla Impacto'!$C$14,P11='Tabla Impacto'!$D$14),"Mayor",IF(OR(P11='Tabla Impacto'!$C$15,P11='Tabla Impacto'!$D$15),"Catastrófico","")))))</f>
        <v>Leve</v>
      </c>
      <c r="R15" s="193">
        <f>IF(Q15="","",IF(Q15="Leve",0.2,IF(Q15="Menor",0.4,IF(Q15="Moderado",0.6,IF(Q15="Mayor",0.8,IF(Q15="Catastrófico",1,))))))</f>
        <v>0.2</v>
      </c>
      <c r="S15" s="245" t="str">
        <f>IF(OR(AND(M15="Muy Baja",Q15="Leve"),AND(M15="Muy Baja",Q15="Menor"),AND(M15="Baja",Q15="Leve")),"Bajo",IF(OR(AND(M15="Muy baja",Q15="Moderado"),AND(M15="Baja",Q15="Menor"),AND(M15="Baja",Q15="Moderado"),AND(M15="Media",Q15="Leve"),AND(M15="Media",Q15="Menor"),AND(M15="Media",Q15="Moderado"),AND(M15="Alta",Q15="Leve"),AND(M15="Alta",Q15="Menor")),"Moderado",IF(OR(AND(M15="Muy Baja",Q15="Mayor"),AND(M15="Baja",Q15="Mayor"),AND(M15="Media",Q15="Mayor"),AND(M15="Alta",Q15="Moderado"),AND(M15="Alta",Q15="Mayor"),AND(M15="Muy Alta",Q15="Leve"),AND(M15="Muy Alta",Q15="Menor"),AND(M15="Muy Alta",Q15="Moderado"),AND(M15="Muy Alta",Q15="Mayor")),"Alto",IF(OR(AND(M15="Muy Baja",Q15="Catastrófico"),AND(M15="Baja",Q15="Catastrófico"),AND(M15="Media",Q15="Catastrófico"),AND(M15="Alta",Q15="Catastrófico"),AND(M15="Muy Alta",Q15="Catastrófico")),"Extremo",""))))</f>
        <v>Moderado</v>
      </c>
      <c r="T15" s="143">
        <v>1</v>
      </c>
      <c r="U15" s="144" t="s">
        <v>268</v>
      </c>
      <c r="V15" s="146" t="str">
        <f>IF(OR(W15="Preventivo",W15="Detectivo"),"Probabilidad",IF(W15="Correctivo","Impacto",""))</f>
        <v>Probabilidad</v>
      </c>
      <c r="W15" s="147" t="s">
        <v>12</v>
      </c>
      <c r="X15" s="147" t="s">
        <v>7</v>
      </c>
      <c r="Y15" s="148" t="str">
        <f>IF(AND(W15="Preventivo",X15="Automático"),"50%",IF(AND(W15="Preventivo",X15="Manual"),"40%",IF(AND(W15="Detectivo",X15="Automático"),"40%",IF(AND(W15="Detectivo",X15="Manual"),"30%",IF(AND(W15="Correctivo",X15="Automático"),"35%",IF(AND(W15="Correctivo",X15="Manual"),"25%",""))))))</f>
        <v>40%</v>
      </c>
      <c r="Z15" s="161" t="s">
        <v>17</v>
      </c>
      <c r="AA15" s="162" t="s">
        <v>20</v>
      </c>
      <c r="AB15" s="163" t="s">
        <v>114</v>
      </c>
      <c r="AC15" s="145" t="s">
        <v>269</v>
      </c>
      <c r="AD15" s="164">
        <f>IFERROR(IF(V15="Probabilidad",(N15-(+N15*Y15)),IF(V15="Impacto",N15,"")),"")</f>
        <v>0.36</v>
      </c>
      <c r="AE15" s="165" t="str">
        <f>IFERROR(IF(AD15="","",IF(AD15&lt;=0.2,"Muy Baja",IF(AD15&lt;=0.4,"Baja",IF(AD15&lt;=0.6,"Media",IF(AD15&lt;=0.8,"Alta","Muy Alta"))))),"")</f>
        <v>Baja</v>
      </c>
      <c r="AF15" s="148">
        <f>+AD15</f>
        <v>0.36</v>
      </c>
      <c r="AG15" s="166" t="str">
        <f>IFERROR(IF(AH15="","",IF(AH15&lt;=0.2,"Leve",IF(AH15&lt;=0.4,"Menor",IF(AH15&lt;=0.6,"Moderado",IF(AH15&lt;=0.8,"Mayor","Catastrófico"))))),"")</f>
        <v>Leve</v>
      </c>
      <c r="AH15" s="148">
        <f>IFERROR(IF(V15="Impacto",(R15-(+R15*Y15)),IF(V15="Probabilidad",R15,"")),"")</f>
        <v>0.2</v>
      </c>
      <c r="AI15" s="167"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Bajo</v>
      </c>
      <c r="AJ15" s="167" t="str">
        <f>$AI$15</f>
        <v>Bajo</v>
      </c>
      <c r="AK15" s="234" t="s">
        <v>29</v>
      </c>
      <c r="AL15" s="158"/>
      <c r="AM15" s="158"/>
      <c r="AN15" s="158"/>
      <c r="AO15" s="158"/>
      <c r="AP15" s="158"/>
      <c r="AQ15" s="158"/>
    </row>
    <row r="16" spans="2:75" ht="187.5" customHeight="1" x14ac:dyDescent="0.2">
      <c r="B16" s="425"/>
      <c r="C16" s="432" t="s">
        <v>243</v>
      </c>
      <c r="D16" s="393">
        <v>5</v>
      </c>
      <c r="E16" s="455" t="s">
        <v>705</v>
      </c>
      <c r="F16" s="474" t="s">
        <v>257</v>
      </c>
      <c r="G16" s="425" t="s">
        <v>569</v>
      </c>
      <c r="H16" s="393" t="s">
        <v>563</v>
      </c>
      <c r="I16" s="393" t="s">
        <v>565</v>
      </c>
      <c r="J16" s="455" t="s">
        <v>118</v>
      </c>
      <c r="K16" s="393" t="s">
        <v>624</v>
      </c>
      <c r="L16" s="448">
        <f>365*30</f>
        <v>10950</v>
      </c>
      <c r="M16" s="417" t="str">
        <f>IF(L16&lt;=0,"",IF(L16&lt;=2,"Muy Baja",IF(L16&lt;=24,"Baja",IF(L16&lt;=500,"Media",IF(L16&lt;=5000,"Alta","Muy Alta")))))</f>
        <v>Muy Alta</v>
      </c>
      <c r="N16" s="410">
        <f>IF(M16="","",IF(M16="Muy Baja",0.2,IF(M16="Baja",0.4,IF(M16="Media",0.6,IF(M16="Alta",0.8,IF(M16="Muy Alta",1,))))))</f>
        <v>1</v>
      </c>
      <c r="O16" s="419" t="s">
        <v>140</v>
      </c>
      <c r="P16" s="466" t="s">
        <v>140</v>
      </c>
      <c r="Q16" s="460" t="str">
        <f>IF(OR(P11='Tabla Impacto'!$C$11,P11='Tabla Impacto'!$D$11),"Leve",IF(OR(P11='Tabla Impacto'!$C$12,P11='Tabla Impacto'!$D$12),"Menor",IF(OR(P11='Tabla Impacto'!$C$13,P11='Tabla Impacto'!$D$13),"Moderado",IF(OR(P11='Tabla Impacto'!$C$14,P11='Tabla Impacto'!$D$14),"Mayor",IF(OR(P11='Tabla Impacto'!$C$15,P11='Tabla Impacto'!$D$15),"Catastrófico","")))))</f>
        <v>Leve</v>
      </c>
      <c r="R16" s="410">
        <f>IF(Q16="","",IF(Q16="Leve",0.2,IF(Q16="Menor",0.4,IF(Q16="Moderado",0.6,IF(Q16="Mayor",0.8,IF(Q16="Catastrófico",1,))))))</f>
        <v>0.2</v>
      </c>
      <c r="S16" s="422" t="str">
        <f>IF(OR(AND(M16="Muy Baja",Q16="Leve"),AND(M16="Muy Baja",Q16="Menor"),AND(M16="Baja",Q16="Leve")),"Bajo",IF(OR(AND(M16="Muy baja",Q16="Moderado"),AND(M16="Baja",Q16="Menor"),AND(M16="Baja",Q16="Moderado"),AND(M16="Media",Q16="Leve"),AND(M16="Media",Q16="Menor"),AND(M16="Media",Q16="Moderado"),AND(M16="Alta",Q16="Leve"),AND(M16="Alta",Q16="Menor")),"Moderado",IF(OR(AND(M16="Muy Baja",Q16="Mayor"),AND(M16="Baja",Q16="Mayor"),AND(M16="Media",Q16="Mayor"),AND(M16="Alta",Q16="Moderado"),AND(M16="Alta",Q16="Mayor"),AND(M16="Muy Alta",Q16="Leve"),AND(M16="Muy Alta",Q16="Menor"),AND(M16="Muy Alta",Q16="Moderado"),AND(M16="Muy Alta",Q16="Mayor")),"Alto",IF(OR(AND(M16="Muy Baja",Q16="Catastrófico"),AND(M16="Baja",Q16="Catastrófico"),AND(M16="Media",Q16="Catastrófico"),AND(M16="Alta",Q16="Catastrófico"),AND(M16="Muy Alta",Q16="Catastrófico")),"Extremo",""))))</f>
        <v>Alto</v>
      </c>
      <c r="T16" s="143">
        <v>1</v>
      </c>
      <c r="U16" s="140" t="s">
        <v>729</v>
      </c>
      <c r="V16" s="149" t="str">
        <f t="shared" ref="V16:V26" si="9">IF(OR(W16="Preventivo",W16="Detectivo"),"Probabilidad",IF(W16="Correctivo","Impacto",""))</f>
        <v>Impacto</v>
      </c>
      <c r="W16" s="168" t="s">
        <v>14</v>
      </c>
      <c r="X16" s="168" t="s">
        <v>7</v>
      </c>
      <c r="Y16" s="150" t="str">
        <f>IF(AND(W16="Preventivo",X16="Automático"),"50%",IF(AND(W16="Preventivo",X16="Manual"),"40%",IF(AND(W16="Detectivo",X16="Automático"),"40%",IF(AND(W16="Detectivo",X16="Manual"),"30%",IF(AND(W16="Correctivo",X16="Automático"),"35%",IF(AND(W16="Correctivo",X16="Manual"),"25%",""))))))</f>
        <v>25%</v>
      </c>
      <c r="Z16" s="169" t="s">
        <v>18</v>
      </c>
      <c r="AA16" s="170" t="s">
        <v>20</v>
      </c>
      <c r="AB16" s="171" t="s">
        <v>114</v>
      </c>
      <c r="AC16" s="145" t="s">
        <v>706</v>
      </c>
      <c r="AD16" s="164">
        <f>IFERROR(IF(V16="Probabilidad",(N16-(+N16*Y16)),IF(V16="Impacto",N16,"")),"")</f>
        <v>1</v>
      </c>
      <c r="AE16" s="151" t="str">
        <f>IFERROR(IF(AD16="","",IF(AD16&lt;=0.2,"Muy Baja",IF(AD16&lt;=0.4,"Baja",IF(AD16&lt;=0.6,"Media",IF(AD16&lt;=0.8,"Alta","Muy Alta"))))),"")</f>
        <v>Muy Alta</v>
      </c>
      <c r="AF16" s="81">
        <f>+AD16</f>
        <v>1</v>
      </c>
      <c r="AG16" s="82" t="str">
        <f>IFERROR(IF(AH16="","",IF(AH16&lt;=0.2,"Leve",IF(AH16&lt;=0.4,"Menor",IF(AH16&lt;=0.6,"Moderado",IF(AH16&lt;=0.8,"Mayor","Catastrófico"))))),"")</f>
        <v>Leve</v>
      </c>
      <c r="AH16" s="81">
        <f>IFERROR(IF(V16="Impacto",(R16-(+R16*Y16)),IF(V16="Probabilidad",R16,"")),"")</f>
        <v>0.15000000000000002</v>
      </c>
      <c r="AI16" s="83" t="str">
        <f>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Alto</v>
      </c>
      <c r="AJ16" s="436" t="str">
        <f>IFERROR(IF(OR(AND(AE17="Muy Baja",AG17="Leve"),AND(AE17="Muy Baja",AG17="Menor"),AND(AE17="Baja",AG17="Leve")),"Bajo",IF(OR(AND(AE17="Muy baja",AG17="Moderado"),AND(AE17="Baja",AG17="Menor"),AND(AE17="Baja",AG17="Moderado"),AND(AE17="Media",AG17="Leve"),AND(AE17="Media",AG17="Menor"),AND(AE17="Media",AG17="Moderado"),AND(AE17="Alta",AG17="Leve"),AND(AE17="Alta",AG17="Menor")),"Moderado",IF(OR(AND(AE17="Muy Baja",AG17="Mayor"),AND(AE17="Baja",AG17="Mayor"),AND(AE17="Media",AG17="Mayor"),AND(AE17="Alta",AG17="Moderado"),AND(AE17="Alta",AG17="Mayor"),AND(AE17="Muy Alta",AG17="Leve"),AND(AE17="Muy Alta",AG17="Menor"),AND(AE17="Muy Alta",AG17="Moderado"),AND(AE17="Muy Alta",AG17="Mayor")),"Alto",IF(OR(AND(AE17="Muy Baja",AG17="Catastrófico"),AND(AE17="Baja",AG17="Catastrófico"),AND(AE17="Media",AG17="Catastrófico"),AND(AE17="Alta",AG17="Catastrófico"),AND(AE17="Muy Alta",AG17="Catastrófico")),"Extremo","")))),"")</f>
        <v>Moderado</v>
      </c>
      <c r="AK16" s="401" t="s">
        <v>30</v>
      </c>
      <c r="AL16" s="158"/>
      <c r="AM16" s="158"/>
      <c r="AN16" s="158"/>
      <c r="AO16" s="158"/>
      <c r="AP16" s="158"/>
      <c r="AQ16" s="158"/>
    </row>
    <row r="17" spans="2:43" ht="88.5" customHeight="1" x14ac:dyDescent="0.2">
      <c r="B17" s="425"/>
      <c r="C17" s="432"/>
      <c r="D17" s="393"/>
      <c r="E17" s="455"/>
      <c r="F17" s="474"/>
      <c r="G17" s="425"/>
      <c r="H17" s="393"/>
      <c r="I17" s="393"/>
      <c r="J17" s="455"/>
      <c r="K17" s="393"/>
      <c r="L17" s="448"/>
      <c r="M17" s="417"/>
      <c r="N17" s="410"/>
      <c r="O17" s="419"/>
      <c r="P17" s="420"/>
      <c r="Q17" s="460"/>
      <c r="R17" s="410"/>
      <c r="S17" s="422"/>
      <c r="T17" s="220">
        <v>2</v>
      </c>
      <c r="U17" s="154" t="s">
        <v>270</v>
      </c>
      <c r="V17" s="266" t="str">
        <f t="shared" si="9"/>
        <v>Probabilidad</v>
      </c>
      <c r="W17" s="168" t="s">
        <v>12</v>
      </c>
      <c r="X17" s="168" t="s">
        <v>7</v>
      </c>
      <c r="Y17" s="150" t="str">
        <f t="shared" ref="Y17:Y19" si="10">IF(AND(W17="Preventivo",X17="Automático"),"50%",IF(AND(W17="Preventivo",X17="Manual"),"40%",IF(AND(W17="Detectivo",X17="Automático"),"40%",IF(AND(W17="Detectivo",X17="Manual"),"30%",IF(AND(W17="Correctivo",X17="Automático"),"35%",IF(AND(W17="Correctivo",X17="Manual"),"25%",""))))))</f>
        <v>40%</v>
      </c>
      <c r="Z17" s="169" t="s">
        <v>17</v>
      </c>
      <c r="AA17" s="170" t="s">
        <v>20</v>
      </c>
      <c r="AB17" s="171" t="s">
        <v>114</v>
      </c>
      <c r="AC17" s="145" t="s">
        <v>730</v>
      </c>
      <c r="AD17" s="164">
        <f>IFERROR(IF(AND(V16="Probabilidad",V17="Probabilidad"),(AF16-(+AF16*Y17)),IF(V17="Probabilidad",(N16-(+N16*Y17)),IF(V17="Impacto",AF16,""))),"")</f>
        <v>0.6</v>
      </c>
      <c r="AE17" s="151" t="str">
        <f t="shared" ref="AE17:AE23" si="11">IFERROR(IF(AD17="","",IF(AD17&lt;=0.2,"Muy Baja",IF(AD17&lt;=0.4,"Baja",IF(AD17&lt;=0.6,"Media",IF(AD17&lt;=0.8,"Alta","Muy Alta"))))),"")</f>
        <v>Media</v>
      </c>
      <c r="AF17" s="81">
        <f t="shared" ref="AF17" si="12">+AD17</f>
        <v>0.6</v>
      </c>
      <c r="AG17" s="82" t="str">
        <f t="shared" ref="AG17:AG23" si="13">IFERROR(IF(AH17="","",IF(AH17&lt;=0.2,"Leve",IF(AH17&lt;=0.4,"Menor",IF(AH17&lt;=0.6,"Moderado",IF(AH17&lt;=0.8,"Mayor","Catastrófico"))))),"")</f>
        <v>Leve</v>
      </c>
      <c r="AH17" s="152">
        <f>IFERROR(IF(AND(V16="Impacto",V17="Impacto"),(AH16-(+AH16*Y17)),IF(V17="Impacto",(#REF!-(+#REF!*Y17)),IF(V17="Probabilidad",AH16,""))),"")</f>
        <v>0.15000000000000002</v>
      </c>
      <c r="AI17" s="83" t="str">
        <f t="shared" ref="AI17" si="14">IFERROR(IF(OR(AND(AE17="Muy Baja",AG17="Leve"),AND(AE17="Muy Baja",AG17="Menor"),AND(AE17="Baja",AG17="Leve")),"Bajo",IF(OR(AND(AE17="Muy baja",AG17="Moderado"),AND(AE17="Baja",AG17="Menor"),AND(AE17="Baja",AG17="Moderado"),AND(AE17="Media",AG17="Leve"),AND(AE17="Media",AG17="Menor"),AND(AE17="Media",AG17="Moderado"),AND(AE17="Alta",AG17="Leve"),AND(AE17="Alta",AG17="Menor")),"Moderado",IF(OR(AND(AE17="Muy Baja",AG17="Mayor"),AND(AE17="Baja",AG17="Mayor"),AND(AE17="Media",AG17="Mayor"),AND(AE17="Alta",AG17="Moderado"),AND(AE17="Alta",AG17="Mayor"),AND(AE17="Muy Alta",AG17="Leve"),AND(AE17="Muy Alta",AG17="Menor"),AND(AE17="Muy Alta",AG17="Moderado"),AND(AE17="Muy Alta",AG17="Mayor")),"Alto",IF(OR(AND(AE17="Muy Baja",AG17="Catastrófico"),AND(AE17="Baja",AG17="Catastrófico"),AND(AE17="Media",AG17="Catastrófico"),AND(AE17="Alta",AG17="Catastrófico"),AND(AE17="Muy Alta",AG17="Catastrófico")),"Extremo","")))),"")</f>
        <v>Moderado</v>
      </c>
      <c r="AJ17" s="438"/>
      <c r="AK17" s="489"/>
      <c r="AL17" s="158"/>
      <c r="AM17" s="158"/>
      <c r="AN17" s="158"/>
      <c r="AO17" s="158"/>
      <c r="AP17" s="158"/>
      <c r="AQ17" s="158"/>
    </row>
    <row r="18" spans="2:43" ht="97.5" customHeight="1" x14ac:dyDescent="0.2">
      <c r="B18" s="425"/>
      <c r="C18" s="493" t="s">
        <v>243</v>
      </c>
      <c r="D18" s="393">
        <v>6</v>
      </c>
      <c r="E18" s="385" t="s">
        <v>247</v>
      </c>
      <c r="F18" s="416" t="s">
        <v>258</v>
      </c>
      <c r="G18" s="425" t="s">
        <v>571</v>
      </c>
      <c r="H18" s="393" t="s">
        <v>563</v>
      </c>
      <c r="I18" s="393" t="s">
        <v>565</v>
      </c>
      <c r="J18" s="385" t="s">
        <v>123</v>
      </c>
      <c r="K18" s="393" t="s">
        <v>624</v>
      </c>
      <c r="L18" s="394">
        <f>365*8</f>
        <v>2920</v>
      </c>
      <c r="M18" s="439" t="str">
        <f>IF(L18&lt;=0,"",IF(L18&lt;=2,"Muy Baja",IF(L18&lt;=24,"Baja",IF(L18&lt;=500,"Media",IF(L18&lt;=5000,"Alta","Muy Alta")))))</f>
        <v>Alta</v>
      </c>
      <c r="N18" s="451">
        <f>IF(M18="","",IF(M18="Muy Baja",0.2,IF(M18="Baja",0.4,IF(M18="Media",0.6,IF(M18="Alta",0.8,IF(M18="Muy Alta",1,))))))</f>
        <v>0.8</v>
      </c>
      <c r="O18" s="406" t="s">
        <v>145</v>
      </c>
      <c r="P18" s="405" t="s">
        <v>145</v>
      </c>
      <c r="Q18" s="395" t="str">
        <f>IF(OR(P18='Tabla Impacto'!$C$11,P18='Tabla Impacto'!$D$11),"Leve",IF(OR(P18='Tabla Impacto'!$C$12,P18='Tabla Impacto'!$D$12),"Menor",IF(OR(P18='Tabla Impacto'!$C$13,P18='Tabla Impacto'!$D$13),"Moderado",IF(OR(P18='Tabla Impacto'!$C$14,P18='Tabla Impacto'!$D$14),"Mayor",IF(OR(P18='Tabla Impacto'!$C$15,P18='Tabla Impacto'!$D$15),"Catastrófico","")))))</f>
        <v>Moderado</v>
      </c>
      <c r="R18" s="405">
        <f>IF(Q18="","",IF(Q18="Leve",0.2,IF(Q18="Menor",0.4,IF(Q18="Moderado",0.6,IF(Q18="Mayor",0.8,IF(Q18="Catastrófico",1,))))))</f>
        <v>0.6</v>
      </c>
      <c r="S18" s="384" t="str">
        <f>IF(OR(AND(M18="Muy Baja",Q18="Leve"),AND(M18="Muy Baja",Q18="Menor"),AND(M18="Baja",Q18="Leve")),"Bajo",IF(OR(AND(M18="Muy baja",Q18="Moderado"),AND(M18="Baja",Q18="Menor"),AND(M18="Baja",Q18="Moderado"),AND(M18="Media",Q18="Leve"),AND(M18="Media",Q18="Menor"),AND(M18="Media",Q18="Moderado"),AND(M18="Alta",Q18="Leve"),AND(M18="Alta",Q18="Menor")),"Moderado",IF(OR(AND(M18="Muy Baja",Q18="Mayor"),AND(M18="Baja",Q18="Mayor"),AND(M18="Media",Q18="Mayor"),AND(M18="Alta",Q18="Moderado"),AND(M18="Alta",Q18="Mayor"),AND(M18="Muy Alta",Q18="Leve"),AND(M18="Muy Alta",Q18="Menor"),AND(M18="Muy Alta",Q18="Moderado"),AND(M18="Muy Alta",Q18="Mayor")),"Alto",IF(OR(AND(M18="Muy Baja",Q18="Catastrófico"),AND(M18="Baja",Q18="Catastrófico"),AND(M18="Media",Q18="Catastrófico"),AND(M18="Alta",Q18="Catastrófico"),AND(M18="Muy Alta",Q18="Catastrófico")),"Extremo",""))))</f>
        <v>Alto</v>
      </c>
      <c r="T18" s="143">
        <v>1</v>
      </c>
      <c r="U18" s="140" t="s">
        <v>731</v>
      </c>
      <c r="V18" s="124" t="str">
        <f t="shared" si="9"/>
        <v>Probabilidad</v>
      </c>
      <c r="W18" s="125" t="s">
        <v>12</v>
      </c>
      <c r="X18" s="125" t="s">
        <v>7</v>
      </c>
      <c r="Y18" s="150" t="str">
        <f t="shared" si="10"/>
        <v>40%</v>
      </c>
      <c r="Z18" s="125" t="s">
        <v>17</v>
      </c>
      <c r="AA18" s="125" t="s">
        <v>20</v>
      </c>
      <c r="AB18" s="125" t="s">
        <v>114</v>
      </c>
      <c r="AC18" s="123" t="s">
        <v>271</v>
      </c>
      <c r="AD18" s="164">
        <f>IFERROR(IF(V18="Probabilidad",(N18-(+N18*Y18)),IF(V18="Impacto",N18,"")),"")</f>
        <v>0.48</v>
      </c>
      <c r="AE18" s="151" t="str">
        <f>IFERROR(IF(AD18="","",IF(AD18&lt;=0.2,"Muy Baja",IF(AD18&lt;=0.4,"Baja",IF(AD18&lt;=0.6,"Media",IF(AD18&lt;=0.8,"Alta","Muy Alta"))))),"")</f>
        <v>Media</v>
      </c>
      <c r="AF18" s="81">
        <f>+AD18</f>
        <v>0.48</v>
      </c>
      <c r="AG18" s="82" t="str">
        <f>IFERROR(IF(AH18="","",IF(AH18&lt;=0.2,"Leve",IF(AH18&lt;=0.4,"Menor",IF(AH18&lt;=0.6,"Moderado",IF(AH18&lt;=0.8,"Mayor","Catastrófico"))))),"")</f>
        <v>Moderado</v>
      </c>
      <c r="AH18" s="81">
        <f>IFERROR(IF(V18="Impacto",(R18-(+R18*Y18)),IF(V18="Probabilidad",R18,"")),"")</f>
        <v>0.6</v>
      </c>
      <c r="AI18" s="83" t="str">
        <f>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Moderado</v>
      </c>
      <c r="AJ18" s="436" t="str">
        <f>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Moderado</v>
      </c>
      <c r="AK18" s="401" t="s">
        <v>30</v>
      </c>
      <c r="AL18" s="158"/>
      <c r="AM18" s="158"/>
      <c r="AN18" s="158"/>
      <c r="AO18" s="158"/>
      <c r="AP18" s="158"/>
      <c r="AQ18" s="158"/>
    </row>
    <row r="19" spans="2:43" ht="134.25" customHeight="1" x14ac:dyDescent="0.2">
      <c r="B19" s="425"/>
      <c r="C19" s="493"/>
      <c r="D19" s="393"/>
      <c r="E19" s="385"/>
      <c r="F19" s="416"/>
      <c r="G19" s="425"/>
      <c r="H19" s="393"/>
      <c r="I19" s="393"/>
      <c r="J19" s="385"/>
      <c r="K19" s="393"/>
      <c r="L19" s="394"/>
      <c r="M19" s="417"/>
      <c r="N19" s="410"/>
      <c r="O19" s="406"/>
      <c r="P19" s="405"/>
      <c r="Q19" s="395"/>
      <c r="R19" s="405"/>
      <c r="S19" s="384"/>
      <c r="T19" s="143">
        <v>2</v>
      </c>
      <c r="U19" s="140" t="s">
        <v>272</v>
      </c>
      <c r="V19" s="124" t="str">
        <f t="shared" si="9"/>
        <v>Probabilidad</v>
      </c>
      <c r="W19" s="125" t="s">
        <v>12</v>
      </c>
      <c r="X19" s="125" t="s">
        <v>7</v>
      </c>
      <c r="Y19" s="150" t="str">
        <f t="shared" si="10"/>
        <v>40%</v>
      </c>
      <c r="Z19" s="125" t="s">
        <v>17</v>
      </c>
      <c r="AA19" s="125" t="s">
        <v>20</v>
      </c>
      <c r="AB19" s="125" t="s">
        <v>114</v>
      </c>
      <c r="AC19" s="123" t="s">
        <v>273</v>
      </c>
      <c r="AD19" s="164">
        <f>IFERROR(IF(AND(V18="Probabilidad",V19="Probabilidad"),(AF18-(+AF18*Y19)),IF(V19="Probabilidad",(N18-(+N18*Y19)),IF(V19="Impacto",AF18,""))),"")</f>
        <v>0.28799999999999998</v>
      </c>
      <c r="AE19" s="151" t="str">
        <f t="shared" ref="AE19" si="15">IFERROR(IF(AD19="","",IF(AD19&lt;=0.2,"Muy Baja",IF(AD19&lt;=0.4,"Baja",IF(AD19&lt;=0.6,"Media",IF(AD19&lt;=0.8,"Alta","Muy Alta"))))),"")</f>
        <v>Baja</v>
      </c>
      <c r="AF19" s="81">
        <f t="shared" ref="AF19" si="16">+AD19</f>
        <v>0.28799999999999998</v>
      </c>
      <c r="AG19" s="82" t="str">
        <f t="shared" ref="AG19" si="17">IFERROR(IF(AH19="","",IF(AH19&lt;=0.2,"Leve",IF(AH19&lt;=0.4,"Menor",IF(AH19&lt;=0.6,"Moderado",IF(AH19&lt;=0.8,"Mayor","Catastrófico"))))),"")</f>
        <v>Moderado</v>
      </c>
      <c r="AH19" s="152">
        <f>IFERROR(IF(AND(V18="Impacto",V19="Impacto"),(AH18-(+AH18*Y19)),IF(V19="Impacto",(#REF!-(+#REF!*Y19)),IF(V19="Probabilidad",AH18,""))),"")</f>
        <v>0.6</v>
      </c>
      <c r="AI19" s="83" t="str">
        <f t="shared" ref="AI19" si="18">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Moderado</v>
      </c>
      <c r="AJ19" s="438"/>
      <c r="AK19" s="489"/>
      <c r="AL19" s="158"/>
      <c r="AM19" s="158"/>
      <c r="AN19" s="158"/>
      <c r="AO19" s="158"/>
      <c r="AP19" s="158"/>
      <c r="AQ19" s="158"/>
    </row>
    <row r="20" spans="2:43" ht="124.5" customHeight="1" x14ac:dyDescent="0.2">
      <c r="B20" s="425"/>
      <c r="C20" s="313" t="s">
        <v>243</v>
      </c>
      <c r="D20" s="143">
        <v>7</v>
      </c>
      <c r="E20" s="212" t="s">
        <v>248</v>
      </c>
      <c r="F20" s="213" t="s">
        <v>259</v>
      </c>
      <c r="G20" s="136" t="s">
        <v>572</v>
      </c>
      <c r="H20" s="143" t="s">
        <v>563</v>
      </c>
      <c r="I20" s="143" t="s">
        <v>565</v>
      </c>
      <c r="J20" s="212" t="s">
        <v>118</v>
      </c>
      <c r="K20" s="143" t="s">
        <v>624</v>
      </c>
      <c r="L20" s="142">
        <v>12</v>
      </c>
      <c r="M20" s="215" t="str">
        <f>IF(L20&lt;=0,"",IF(L20&lt;=2,"Muy Baja",IF(L20&lt;=24,"Baja",IF(L20&lt;=500,"Media",IF(L20&lt;=5000,"Alta","Muy Alta")))))</f>
        <v>Baja</v>
      </c>
      <c r="N20" s="218">
        <f>IF(M20="","",IF(M20="Muy Baja",0.2,IF(M20="Baja",0.4,IF(M20="Media",0.6,IF(M20="Alta",0.8,IF(M20="Muy Alta",1,))))))</f>
        <v>0.4</v>
      </c>
      <c r="O20" s="194" t="s">
        <v>144</v>
      </c>
      <c r="P20" s="193" t="s">
        <v>144</v>
      </c>
      <c r="Q20" s="192" t="str">
        <f>IF(OR(P20='Tabla Impacto'!$C$11,P20='Tabla Impacto'!$D$11),"Leve",IF(OR(P20='Tabla Impacto'!$C$12,P20='Tabla Impacto'!$D$12),"Menor",IF(OR(P20='Tabla Impacto'!$C$13,P20='Tabla Impacto'!$D$13),"Moderado",IF(OR(P20='Tabla Impacto'!$C$14,P20='Tabla Impacto'!$D$14),"Mayor",IF(OR(P20='Tabla Impacto'!$C$15,P20='Tabla Impacto'!$D$15),"Catastrófico","")))))</f>
        <v>Menor</v>
      </c>
      <c r="R20" s="193">
        <f>IF(Q20="","",IF(Q20="Leve",0.2,IF(Q20="Menor",0.4,IF(Q20="Moderado",0.6,IF(Q20="Mayor",0.8,IF(Q20="Catastrófico",1,))))))</f>
        <v>0.4</v>
      </c>
      <c r="S20" s="245" t="str">
        <f>IF(OR(AND(M20="Muy Baja",Q20="Leve"),AND(M20="Muy Baja",Q20="Menor"),AND(M20="Baja",Q20="Leve")),"Bajo",IF(OR(AND(M20="Muy baja",Q20="Moderado"),AND(M20="Baja",Q20="Menor"),AND(M20="Baja",Q20="Moderado"),AND(M20="Media",Q20="Leve"),AND(M20="Media",Q20="Menor"),AND(M20="Media",Q20="Moderado"),AND(M20="Alta",Q20="Leve"),AND(M20="Alta",Q20="Menor")),"Moderado",IF(OR(AND(M20="Muy Baja",Q20="Mayor"),AND(M20="Baja",Q20="Mayor"),AND(M20="Media",Q20="Mayor"),AND(M20="Alta",Q20="Moderado"),AND(M20="Alta",Q20="Mayor"),AND(M20="Muy Alta",Q20="Leve"),AND(M20="Muy Alta",Q20="Menor"),AND(M20="Muy Alta",Q20="Moderado"),AND(M20="Muy Alta",Q20="Mayor")),"Alto",IF(OR(AND(M20="Muy Baja",Q20="Catastrófico"),AND(M20="Baja",Q20="Catastrófico"),AND(M20="Media",Q20="Catastrófico"),AND(M20="Alta",Q20="Catastrófico"),AND(M20="Muy Alta",Q20="Catastrófico")),"Extremo",""))))</f>
        <v>Moderado</v>
      </c>
      <c r="T20" s="143">
        <v>1</v>
      </c>
      <c r="U20" s="140" t="s">
        <v>274</v>
      </c>
      <c r="V20" s="124" t="str">
        <f t="shared" si="9"/>
        <v>Probabilidad</v>
      </c>
      <c r="W20" s="125" t="s">
        <v>12</v>
      </c>
      <c r="X20" s="125" t="s">
        <v>7</v>
      </c>
      <c r="Y20" s="150" t="str">
        <f t="shared" ref="Y20" si="19">IF(AND(W20="Preventivo",X20="Automático"),"50%",IF(AND(W20="Preventivo",X20="Manual"),"40%",IF(AND(W20="Detectivo",X20="Automático"),"40%",IF(AND(W20="Detectivo",X20="Manual"),"30%",IF(AND(W20="Correctivo",X20="Automático"),"35%",IF(AND(W20="Correctivo",X20="Manual"),"25%",""))))))</f>
        <v>40%</v>
      </c>
      <c r="Z20" s="125" t="s">
        <v>17</v>
      </c>
      <c r="AA20" s="125" t="s">
        <v>20</v>
      </c>
      <c r="AB20" s="125" t="s">
        <v>114</v>
      </c>
      <c r="AC20" s="177" t="s">
        <v>275</v>
      </c>
      <c r="AD20" s="173">
        <f>IFERROR(IF(V20="Probabilidad",(N20-(+N20*Y20)),IF(V20="Impacto",N20,"")),"")</f>
        <v>0.24</v>
      </c>
      <c r="AE20" s="174" t="str">
        <f>IFERROR(IF(AD20="","",IF(AD20&lt;=0.2,"Muy Baja",IF(AD20&lt;=0.4,"Baja",IF(AD20&lt;=0.6,"Media",IF(AD20&lt;=0.8,"Alta","Muy Alta"))))),"")</f>
        <v>Baja</v>
      </c>
      <c r="AF20" s="175">
        <f>+AD20</f>
        <v>0.24</v>
      </c>
      <c r="AG20" s="176" t="str">
        <f>IFERROR(IF(AH20="","",IF(AH20&lt;=0.2,"Leve",IF(AH20&lt;=0.4,"Menor",IF(AH20&lt;=0.6,"Moderado",IF(AH20&lt;=0.8,"Mayor","Catastrófico"))))),"")</f>
        <v>Menor</v>
      </c>
      <c r="AH20" s="175">
        <f>IFERROR(IF(V20="Impacto",(R20-(+R20*Y20)),IF(V20="Probabilidad",R20,"")),"")</f>
        <v>0.4</v>
      </c>
      <c r="AI20" s="83" t="str">
        <f>IFERROR(IF(OR(AND(AE20="Muy Baja",AG20="Leve"),AND(AE20="Muy Baja",AG20="Menor"),AND(AE20="Baja",AG20="Leve")),"Bajo",IF(OR(AND(AE20="Muy baja",AG20="Moderado"),AND(AE20="Baja",AG20="Menor"),AND(AE20="Baja",AG20="Moderado"),AND(AE20="Media",AG20="Leve"),AND(AE20="Media",AG20="Menor"),AND(AE20="Media",AG20="Moderado"),AND(AE20="Alta",AG20="Leve"),AND(AE20="Alta",AG20="Menor")),"Moderado",IF(OR(AND(AE20="Muy Baja",AG20="Mayor"),AND(AE20="Baja",AG20="Mayor"),AND(AE20="Media",AG20="Mayor"),AND(AE20="Alta",AG20="Moderado"),AND(AE20="Alta",AG20="Mayor"),AND(AE20="Muy Alta",AG20="Leve"),AND(AE20="Muy Alta",AG20="Menor"),AND(AE20="Muy Alta",AG20="Moderado"),AND(AE20="Muy Alta",AG20="Mayor")),"Alto",IF(OR(AND(AE20="Muy Baja",AG20="Catastrófico"),AND(AE20="Baja",AG20="Catastrófico"),AND(AE20="Media",AG20="Catastrófico"),AND(AE20="Alta",AG20="Catastrófico"),AND(AE20="Muy Alta",AG20="Catastrófico")),"Extremo","")))),"")</f>
        <v>Moderado</v>
      </c>
      <c r="AJ20" s="83" t="str">
        <f>$AI$20</f>
        <v>Moderado</v>
      </c>
      <c r="AK20" s="234" t="s">
        <v>30</v>
      </c>
      <c r="AL20" s="158"/>
      <c r="AM20" s="158"/>
      <c r="AN20" s="158"/>
      <c r="AO20" s="158"/>
      <c r="AP20" s="158"/>
      <c r="AQ20" s="158"/>
    </row>
    <row r="21" spans="2:43" ht="105.75" customHeight="1" x14ac:dyDescent="0.2">
      <c r="B21" s="425"/>
      <c r="C21" s="314" t="s">
        <v>243</v>
      </c>
      <c r="D21" s="143">
        <v>8</v>
      </c>
      <c r="E21" s="290" t="s">
        <v>249</v>
      </c>
      <c r="F21" s="231" t="s">
        <v>260</v>
      </c>
      <c r="G21" s="202" t="s">
        <v>573</v>
      </c>
      <c r="H21" s="220" t="s">
        <v>563</v>
      </c>
      <c r="I21" s="220" t="s">
        <v>565</v>
      </c>
      <c r="J21" s="290" t="s">
        <v>118</v>
      </c>
      <c r="K21" s="220" t="s">
        <v>624</v>
      </c>
      <c r="L21" s="255">
        <v>12</v>
      </c>
      <c r="M21" s="215" t="str">
        <f>IF(L21&lt;=0,"",IF(L21&lt;=2,"Muy Baja",IF(L21&lt;=24,"Baja",IF(L21&lt;=500,"Media",IF(L21&lt;=5000,"Alta","Muy Alta")))))</f>
        <v>Baja</v>
      </c>
      <c r="N21" s="218">
        <f>IF(M21="","",IF(M21="Muy Baja",0.2,IF(M21="Baja",0.4,IF(M21="Media",0.6,IF(M21="Alta",0.8,IF(M21="Muy Alta",1,))))))</f>
        <v>0.4</v>
      </c>
      <c r="O21" s="287" t="s">
        <v>144</v>
      </c>
      <c r="P21" s="218" t="s">
        <v>144</v>
      </c>
      <c r="Q21" s="215" t="str">
        <f>IF(OR(P21='Tabla Impacto'!$C$11,P21='Tabla Impacto'!$D$11),"Leve",IF(OR(P21='Tabla Impacto'!$C$12,P21='Tabla Impacto'!$D$12),"Menor",IF(OR(P21='Tabla Impacto'!$C$13,P21='Tabla Impacto'!$D$13),"Moderado",IF(OR(P21='Tabla Impacto'!$C$14,P21='Tabla Impacto'!$D$14),"Mayor",IF(OR(P21='Tabla Impacto'!$C$15,P21='Tabla Impacto'!$D$15),"Catastrófico","")))))</f>
        <v>Menor</v>
      </c>
      <c r="R21" s="218">
        <f>IF(Q21="","",IF(Q21="Leve",0.2,IF(Q21="Menor",0.4,IF(Q21="Moderado",0.6,IF(Q21="Mayor",0.8,IF(Q21="Catastrófico",1,))))))</f>
        <v>0.4</v>
      </c>
      <c r="S21" s="264" t="str">
        <f>IF(OR(AND(M21="Muy Baja",Q21="Leve"),AND(M21="Muy Baja",Q21="Menor"),AND(M21="Baja",Q21="Leve")),"Bajo",IF(OR(AND(M21="Muy baja",Q21="Moderado"),AND(M21="Baja",Q21="Menor"),AND(M21="Baja",Q21="Moderado"),AND(M21="Media",Q21="Leve"),AND(M21="Media",Q21="Menor"),AND(M21="Media",Q21="Moderado"),AND(M21="Alta",Q21="Leve"),AND(M21="Alta",Q21="Menor")),"Moderado",IF(OR(AND(M21="Muy Baja",Q21="Mayor"),AND(M21="Baja",Q21="Mayor"),AND(M21="Media",Q21="Mayor"),AND(M21="Alta",Q21="Moderado"),AND(M21="Alta",Q21="Mayor"),AND(M21="Muy Alta",Q21="Leve"),AND(M21="Muy Alta",Q21="Menor"),AND(M21="Muy Alta",Q21="Moderado"),AND(M21="Muy Alta",Q21="Mayor")),"Alto",IF(OR(AND(M21="Muy Baja",Q21="Catastrófico"),AND(M21="Baja",Q21="Catastrófico"),AND(M21="Media",Q21="Catastrófico"),AND(M21="Alta",Q21="Catastrófico"),AND(M21="Muy Alta",Q21="Catastrófico")),"Extremo",""))))</f>
        <v>Moderado</v>
      </c>
      <c r="T21" s="220">
        <v>1</v>
      </c>
      <c r="U21" s="254" t="s">
        <v>276</v>
      </c>
      <c r="V21" s="291" t="str">
        <f t="shared" ref="V21" si="20">IF(OR(W21="Preventivo",W21="Detectivo"),"Probabilidad",IF(W21="Correctivo","Impacto",""))</f>
        <v>Probabilidad</v>
      </c>
      <c r="W21" s="234" t="s">
        <v>12</v>
      </c>
      <c r="X21" s="234" t="s">
        <v>7</v>
      </c>
      <c r="Y21" s="150" t="str">
        <f t="shared" ref="Y21" si="21">IF(AND(W21="Preventivo",X21="Automático"),"50%",IF(AND(W21="Preventivo",X21="Manual"),"40%",IF(AND(W21="Detectivo",X21="Automático"),"40%",IF(AND(W21="Detectivo",X21="Manual"),"30%",IF(AND(W21="Correctivo",X21="Automático"),"35%",IF(AND(W21="Correctivo",X21="Manual"),"25%",""))))))</f>
        <v>40%</v>
      </c>
      <c r="Z21" s="125" t="s">
        <v>17</v>
      </c>
      <c r="AA21" s="125" t="s">
        <v>20</v>
      </c>
      <c r="AB21" s="125" t="s">
        <v>114</v>
      </c>
      <c r="AC21" s="123" t="s">
        <v>277</v>
      </c>
      <c r="AD21" s="126">
        <f>IFERROR(IF(V21="Probabilidad",(N21-(+N21*Y21)),IF(V21="Impacto",N21,"")),"")</f>
        <v>0.24</v>
      </c>
      <c r="AE21" s="82" t="str">
        <f>IFERROR(IF(AD21="","",IF(AD21&lt;=0.2,"Muy Baja",IF(AD21&lt;=0.4,"Baja",IF(AD21&lt;=0.6,"Media",IF(AD21&lt;=0.8,"Alta","Muy Alta"))))),"")</f>
        <v>Baja</v>
      </c>
      <c r="AF21" s="81">
        <f>+AD21</f>
        <v>0.24</v>
      </c>
      <c r="AG21" s="82" t="str">
        <f>IFERROR(IF(AH21="","",IF(AH21&lt;=0.2,"Leve",IF(AH21&lt;=0.4,"Menor",IF(AH21&lt;=0.6,"Moderado",IF(AH21&lt;=0.8,"Mayor","Catastrófico"))))),"")</f>
        <v>Menor</v>
      </c>
      <c r="AH21" s="81">
        <f>IFERROR(IF(V21="Impacto",(R21-(+R21*Y21)),IF(V21="Probabilidad",R21,"")),"")</f>
        <v>0.4</v>
      </c>
      <c r="AI21" s="83" t="str">
        <f>IFERROR(IF(OR(AND(AE21="Muy Baja",AG21="Leve"),AND(AE21="Muy Baja",AG21="Menor"),AND(AE21="Baja",AG21="Leve")),"Bajo",IF(OR(AND(AE21="Muy baja",AG21="Moderado"),AND(AE21="Baja",AG21="Menor"),AND(AE21="Baja",AG21="Moderado"),AND(AE21="Media",AG21="Leve"),AND(AE21="Media",AG21="Menor"),AND(AE21="Media",AG21="Moderado"),AND(AE21="Alta",AG21="Leve"),AND(AE21="Alta",AG21="Menor")),"Moderado",IF(OR(AND(AE21="Muy Baja",AG21="Mayor"),AND(AE21="Baja",AG21="Mayor"),AND(AE21="Media",AG21="Mayor"),AND(AE21="Alta",AG21="Moderado"),AND(AE21="Alta",AG21="Mayor"),AND(AE21="Muy Alta",AG21="Leve"),AND(AE21="Muy Alta",AG21="Menor"),AND(AE21="Muy Alta",AG21="Moderado"),AND(AE21="Muy Alta",AG21="Mayor")),"Alto",IF(OR(AND(AE21="Muy Baja",AG21="Catastrófico"),AND(AE21="Baja",AG21="Catastrófico"),AND(AE21="Media",AG21="Catastrófico"),AND(AE21="Alta",AG21="Catastrófico"),AND(AE21="Muy Alta",AG21="Catastrófico")),"Extremo","")))),"")</f>
        <v>Moderado</v>
      </c>
      <c r="AJ21" s="83" t="str">
        <f>$AI$21</f>
        <v>Moderado</v>
      </c>
      <c r="AK21" s="234" t="s">
        <v>30</v>
      </c>
      <c r="AL21" s="158"/>
      <c r="AM21" s="158"/>
      <c r="AN21" s="158"/>
      <c r="AO21" s="158"/>
      <c r="AP21" s="158"/>
      <c r="AQ21" s="158"/>
    </row>
    <row r="22" spans="2:43" ht="181.5" customHeight="1" x14ac:dyDescent="0.2">
      <c r="B22" s="425"/>
      <c r="C22" s="416" t="s">
        <v>241</v>
      </c>
      <c r="D22" s="393">
        <v>9</v>
      </c>
      <c r="E22" s="385" t="s">
        <v>250</v>
      </c>
      <c r="F22" s="387" t="s">
        <v>261</v>
      </c>
      <c r="G22" s="425" t="s">
        <v>574</v>
      </c>
      <c r="H22" s="393" t="s">
        <v>563</v>
      </c>
      <c r="I22" s="425" t="s">
        <v>686</v>
      </c>
      <c r="J22" s="387" t="s">
        <v>118</v>
      </c>
      <c r="K22" s="393" t="s">
        <v>624</v>
      </c>
      <c r="L22" s="394">
        <v>1</v>
      </c>
      <c r="M22" s="395" t="str">
        <f>IF(L22&lt;=0,"",IF(L22&lt;=2,"Muy Baja",IF(L22&lt;=24,"Baja",IF(L22&lt;=500,"Media",IF(L22&lt;=5000,"Alta","Muy Alta")))))</f>
        <v>Muy Baja</v>
      </c>
      <c r="N22" s="405">
        <f>IF(M22="","",IF(M22="Muy Baja",0.2,IF(M22="Baja",0.4,IF(M22="Media",0.6,IF(M22="Alta",0.8,IF(M22="Muy Alta",1,))))))</f>
        <v>0.2</v>
      </c>
      <c r="O22" s="406" t="s">
        <v>145</v>
      </c>
      <c r="P22" s="405" t="s">
        <v>145</v>
      </c>
      <c r="Q22" s="395" t="str">
        <f>IF(OR(P22='Tabla Impacto'!$C$11,P22='Tabla Impacto'!$D$11),"Leve",IF(OR(P22='Tabla Impacto'!$C$12,P22='Tabla Impacto'!$D$12),"Menor",IF(OR(P22='Tabla Impacto'!$C$13,P22='Tabla Impacto'!$D$13),"Moderado",IF(OR(P22='Tabla Impacto'!$C$14,P22='Tabla Impacto'!$D$14),"Mayor",IF(OR(P22='Tabla Impacto'!$C$15,P22='Tabla Impacto'!$D$15),"Catastrófico","")))))</f>
        <v>Moderado</v>
      </c>
      <c r="R22" s="405">
        <f>IF(Q22="","",IF(Q22="Leve",0.2,IF(Q22="Menor",0.4,IF(Q22="Moderado",0.6,IF(Q22="Mayor",0.8,IF(Q22="Catastrófico",1,))))))</f>
        <v>0.6</v>
      </c>
      <c r="S22" s="384" t="str">
        <f>IF(OR(AND(M22="Muy Baja",Q22="Leve"),AND(M22="Muy Baja",Q22="Menor"),AND(M22="Baja",Q22="Leve")),"Bajo",IF(OR(AND(M22="Muy baja",Q22="Moderado"),AND(M22="Baja",Q22="Menor"),AND(M22="Baja",Q22="Moderado"),AND(M22="Media",Q22="Leve"),AND(M22="Media",Q22="Menor"),AND(M22="Media",Q22="Moderado"),AND(M22="Alta",Q22="Leve"),AND(M22="Alta",Q22="Menor")),"Moderado",IF(OR(AND(M22="Muy Baja",Q22="Mayor"),AND(M22="Baja",Q22="Mayor"),AND(M22="Media",Q22="Mayor"),AND(M22="Alta",Q22="Moderado"),AND(M22="Alta",Q22="Mayor"),AND(M22="Muy Alta",Q22="Leve"),AND(M22="Muy Alta",Q22="Menor"),AND(M22="Muy Alta",Q22="Moderado"),AND(M22="Muy Alta",Q22="Mayor")),"Alto",IF(OR(AND(M22="Muy Baja",Q22="Catastrófico"),AND(M22="Baja",Q22="Catastrófico"),AND(M22="Media",Q22="Catastrófico"),AND(M22="Alta",Q22="Catastrófico"),AND(M22="Muy Alta",Q22="Catastrófico")),"Extremo",""))))</f>
        <v>Moderado</v>
      </c>
      <c r="T22" s="143">
        <v>1</v>
      </c>
      <c r="U22" s="140" t="s">
        <v>278</v>
      </c>
      <c r="V22" s="124" t="str">
        <f t="shared" ref="V22:V23" si="22">IF(OR(W22="Preventivo",W22="Detectivo"),"Probabilidad",IF(W22="Correctivo","Impacto",""))</f>
        <v>Probabilidad</v>
      </c>
      <c r="W22" s="125" t="s">
        <v>12</v>
      </c>
      <c r="X22" s="125" t="s">
        <v>7</v>
      </c>
      <c r="Y22" s="150" t="str">
        <f>IF(AND(W22="Preventivo",X22="Automático"),"50%",IF(AND(W22="Preventivo",X22="Manual"),"40%",IF(AND(W22="Detectivo",X22="Automático"),"40%",IF(AND(W22="Detectivo",X22="Manual"),"30%",IF(AND(W22="Correctivo",X22="Automático"),"35%",IF(AND(W22="Correctivo",X22="Manual"),"25%",""))))))</f>
        <v>40%</v>
      </c>
      <c r="Z22" s="169" t="s">
        <v>17</v>
      </c>
      <c r="AA22" s="170" t="s">
        <v>20</v>
      </c>
      <c r="AB22" s="171" t="s">
        <v>114</v>
      </c>
      <c r="AC22" s="145" t="s">
        <v>279</v>
      </c>
      <c r="AD22" s="179">
        <f>IFERROR(IF(V22="Probabilidad",(N22-(+N22*Y22)),IF(V22="Impacto",N22,"")),"")</f>
        <v>0.12</v>
      </c>
      <c r="AE22" s="165" t="str">
        <f>IFERROR(IF(AD22="","",IF(AD22&lt;=0.2,"Muy Baja",IF(AD22&lt;=0.4,"Baja",IF(AD22&lt;=0.6,"Media",IF(AD22&lt;=0.8,"Alta","Muy Alta"))))),"")</f>
        <v>Muy Baja</v>
      </c>
      <c r="AF22" s="148">
        <f>+AD22</f>
        <v>0.12</v>
      </c>
      <c r="AG22" s="166" t="str">
        <f>IFERROR(IF(AH22="","",IF(AH22&lt;=0.2,"Leve",IF(AH22&lt;=0.4,"Menor",IF(AH22&lt;=0.6,"Moderado",IF(AH22&lt;=0.8,"Mayor","Catastrófico"))))),"")</f>
        <v>Moderado</v>
      </c>
      <c r="AH22" s="148">
        <f>IFERROR(IF(V22="Impacto",(R22-(+R22*Y22)),IF(V22="Probabilidad",R22,"")),"")</f>
        <v>0.6</v>
      </c>
      <c r="AI22" s="167" t="str">
        <f>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Moderado</v>
      </c>
      <c r="AJ22" s="436" t="str">
        <f>IFERROR(IF(OR(AND(AE23="Muy Baja",AG23="Leve"),AND(AE23="Muy Baja",AG23="Menor"),AND(AE23="Baja",AG23="Leve")),"Bajo",IF(OR(AND(AE23="Muy baja",AG23="Moderado"),AND(AE23="Baja",AG23="Menor"),AND(AE23="Baja",AG23="Moderado"),AND(AE23="Media",AG23="Leve"),AND(AE23="Media",AG23="Menor"),AND(AE23="Media",AG23="Moderado"),AND(AE23="Alta",AG23="Leve"),AND(AE23="Alta",AG23="Menor")),"Moderado",IF(OR(AND(AE23="Muy Baja",AG23="Mayor"),AND(AE23="Baja",AG23="Mayor"),AND(AE23="Media",AG23="Mayor"),AND(AE23="Alta",AG23="Moderado"),AND(AE23="Alta",AG23="Mayor"),AND(AE23="Muy Alta",AG23="Leve"),AND(AE23="Muy Alta",AG23="Menor"),AND(AE23="Muy Alta",AG23="Moderado"),AND(AE23="Muy Alta",AG23="Mayor")),"Alto",IF(OR(AND(AE23="Muy Baja",AG23="Catastrófico"),AND(AE23="Baja",AG23="Catastrófico"),AND(AE23="Media",AG23="Catastrófico"),AND(AE23="Alta",AG23="Catastrófico"),AND(AE23="Muy Alta",AG23="Catastrófico")),"Extremo","")))),"")</f>
        <v>Bajo</v>
      </c>
      <c r="AK22" s="401" t="s">
        <v>29</v>
      </c>
      <c r="AL22" s="158"/>
      <c r="AM22" s="158"/>
      <c r="AN22" s="158"/>
      <c r="AO22" s="158"/>
      <c r="AP22" s="158"/>
      <c r="AQ22" s="158"/>
    </row>
    <row r="23" spans="2:43" ht="126.75" customHeight="1" x14ac:dyDescent="0.2">
      <c r="B23" s="425"/>
      <c r="C23" s="416"/>
      <c r="D23" s="393"/>
      <c r="E23" s="385"/>
      <c r="F23" s="387"/>
      <c r="G23" s="425"/>
      <c r="H23" s="393"/>
      <c r="I23" s="393"/>
      <c r="J23" s="387"/>
      <c r="K23" s="393"/>
      <c r="L23" s="394"/>
      <c r="M23" s="395"/>
      <c r="N23" s="405"/>
      <c r="O23" s="406"/>
      <c r="P23" s="405"/>
      <c r="Q23" s="395"/>
      <c r="R23" s="405"/>
      <c r="S23" s="384"/>
      <c r="T23" s="143">
        <v>2</v>
      </c>
      <c r="U23" s="140" t="s">
        <v>280</v>
      </c>
      <c r="V23" s="124" t="str">
        <f t="shared" si="22"/>
        <v>Probabilidad</v>
      </c>
      <c r="W23" s="125" t="s">
        <v>12</v>
      </c>
      <c r="X23" s="125" t="s">
        <v>7</v>
      </c>
      <c r="Y23" s="150" t="str">
        <f t="shared" ref="Y23" si="23">IF(AND(W23="Preventivo",X23="Automático"),"50%",IF(AND(W23="Preventivo",X23="Manual"),"40%",IF(AND(W23="Detectivo",X23="Automático"),"40%",IF(AND(W23="Detectivo",X23="Manual"),"30%",IF(AND(W23="Correctivo",X23="Automático"),"35%",IF(AND(W23="Correctivo",X23="Manual"),"25%",""))))))</f>
        <v>40%</v>
      </c>
      <c r="Z23" s="169" t="s">
        <v>17</v>
      </c>
      <c r="AA23" s="170" t="s">
        <v>20</v>
      </c>
      <c r="AB23" s="171" t="s">
        <v>114</v>
      </c>
      <c r="AC23" s="145" t="s">
        <v>281</v>
      </c>
      <c r="AD23" s="164">
        <f>IFERROR(IF(AND(V22="Probabilidad",V23="Probabilidad"),(AF22-(+AF22*Y23)),IF(V23="Probabilidad",(N22-(+N22*Y23)),IF(V23="Impacto",AF22,""))),"")</f>
        <v>7.1999999999999995E-2</v>
      </c>
      <c r="AE23" s="151" t="str">
        <f t="shared" si="11"/>
        <v>Muy Baja</v>
      </c>
      <c r="AF23" s="81">
        <f t="shared" ref="AF23" si="24">+AD23</f>
        <v>7.1999999999999995E-2</v>
      </c>
      <c r="AG23" s="82" t="str">
        <f t="shared" si="13"/>
        <v>Leve</v>
      </c>
      <c r="AH23" s="152">
        <f>IFERROR(IF(AND(V22="Impacto",V23="Impacto"),(AH16-(+AH16*Y23)),IF(V23="Impacto",(#REF!-(+#REF!*Y23)),IF(V23="Probabilidad",AH16,""))),"")</f>
        <v>0.15000000000000002</v>
      </c>
      <c r="AI23" s="83" t="str">
        <f t="shared" ref="AI23" si="25">IFERROR(IF(OR(AND(AE23="Muy Baja",AG23="Leve"),AND(AE23="Muy Baja",AG23="Menor"),AND(AE23="Baja",AG23="Leve")),"Bajo",IF(OR(AND(AE23="Muy baja",AG23="Moderado"),AND(AE23="Baja",AG23="Menor"),AND(AE23="Baja",AG23="Moderado"),AND(AE23="Media",AG23="Leve"),AND(AE23="Media",AG23="Menor"),AND(AE23="Media",AG23="Moderado"),AND(AE23="Alta",AG23="Leve"),AND(AE23="Alta",AG23="Menor")),"Moderado",IF(OR(AND(AE23="Muy Baja",AG23="Mayor"),AND(AE23="Baja",AG23="Mayor"),AND(AE23="Media",AG23="Mayor"),AND(AE23="Alta",AG23="Moderado"),AND(AE23="Alta",AG23="Mayor"),AND(AE23="Muy Alta",AG23="Leve"),AND(AE23="Muy Alta",AG23="Menor"),AND(AE23="Muy Alta",AG23="Moderado"),AND(AE23="Muy Alta",AG23="Mayor")),"Alto",IF(OR(AND(AE23="Muy Baja",AG23="Catastrófico"),AND(AE23="Baja",AG23="Catastrófico"),AND(AE23="Media",AG23="Catastrófico"),AND(AE23="Alta",AG23="Catastrófico"),AND(AE23="Muy Alta",AG23="Catastrófico")),"Extremo","")))),"")</f>
        <v>Bajo</v>
      </c>
      <c r="AJ23" s="438"/>
      <c r="AK23" s="402"/>
      <c r="AL23" s="158"/>
      <c r="AM23" s="158"/>
      <c r="AN23" s="158"/>
      <c r="AO23" s="158"/>
      <c r="AP23" s="158"/>
      <c r="AQ23" s="158"/>
    </row>
    <row r="24" spans="2:43" ht="153.75" customHeight="1" x14ac:dyDescent="0.2">
      <c r="B24" s="425"/>
      <c r="C24" s="432" t="s">
        <v>244</v>
      </c>
      <c r="D24" s="393">
        <v>10</v>
      </c>
      <c r="E24" s="479" t="s">
        <v>251</v>
      </c>
      <c r="F24" s="478" t="s">
        <v>262</v>
      </c>
      <c r="G24" s="390" t="s">
        <v>575</v>
      </c>
      <c r="H24" s="392" t="s">
        <v>563</v>
      </c>
      <c r="I24" s="392" t="s">
        <v>565</v>
      </c>
      <c r="J24" s="479" t="s">
        <v>123</v>
      </c>
      <c r="K24" s="392" t="s">
        <v>624</v>
      </c>
      <c r="L24" s="492">
        <v>72</v>
      </c>
      <c r="M24" s="464" t="str">
        <f>IF(L24&lt;=0,"",IF(L24&lt;=2,"Muy Baja",IF(L24&lt;=24,"Baja",IF(L24&lt;=500,"Media",IF(L24&lt;=5000,"Alta","Muy Alta")))))</f>
        <v>Media</v>
      </c>
      <c r="N24" s="466">
        <f>IF(M24="","",IF(M24="Muy Baja",0.2,IF(M24="Baja",0.4,IF(M24="Media",0.6,IF(M24="Alta",0.8,IF(M24="Muy Alta",1,))))))</f>
        <v>0.6</v>
      </c>
      <c r="O24" s="485" t="s">
        <v>146</v>
      </c>
      <c r="P24" s="466" t="s">
        <v>146</v>
      </c>
      <c r="Q24" s="460" t="str">
        <f>IF(OR(P24='Tabla Impacto'!$C$11,P24='Tabla Impacto'!$D$11),"Leve",IF(OR(P24='Tabla Impacto'!$C$12,P24='Tabla Impacto'!$D$12),"Menor",IF(OR(P24='Tabla Impacto'!$C$13,P24='Tabla Impacto'!$D$13),"Moderado",IF(OR(P24='Tabla Impacto'!$C$14,P24='Tabla Impacto'!$D$14),"Mayor",IF(OR(P24='Tabla Impacto'!$C$15,P24='Tabla Impacto'!$D$15),"Catastrófico","")))))</f>
        <v>Mayor</v>
      </c>
      <c r="R24" s="466">
        <f>IF(Q24="","",IF(Q24="Leve",0.2,IF(Q24="Menor",0.4,IF(Q24="Moderado",0.6,IF(Q24="Mayor",0.8,IF(Q24="Catastrófico",1,))))))</f>
        <v>0.8</v>
      </c>
      <c r="S24" s="487" t="str">
        <f>IF(OR(AND(M24="Muy Baja",Q24="Leve"),AND(M24="Muy Baja",Q24="Menor"),AND(M24="Baja",Q24="Leve")),"Bajo",IF(OR(AND(M24="Muy baja",Q24="Moderado"),AND(M24="Baja",Q24="Menor"),AND(M24="Baja",Q24="Moderado"),AND(M24="Media",Q24="Leve"),AND(M24="Media",Q24="Menor"),AND(M24="Media",Q24="Moderado"),AND(M24="Alta",Q24="Leve"),AND(M24="Alta",Q24="Menor")),"Moderado",IF(OR(AND(M24="Muy Baja",Q24="Mayor"),AND(M24="Baja",Q24="Mayor"),AND(M24="Media",Q24="Mayor"),AND(M24="Alta",Q24="Moderado"),AND(M24="Alta",Q24="Mayor"),AND(M24="Muy Alta",Q24="Leve"),AND(M24="Muy Alta",Q24="Menor"),AND(M24="Muy Alta",Q24="Moderado"),AND(M24="Muy Alta",Q24="Mayor")),"Alto",IF(OR(AND(M24="Muy Baja",Q24="Catastrófico"),AND(M24="Baja",Q24="Catastrófico"),AND(M24="Media",Q24="Catastrófico"),AND(M24="Alta",Q24="Catastrófico"),AND(M24="Muy Alta",Q24="Catastrófico")),"Extremo",""))))</f>
        <v>Alto</v>
      </c>
      <c r="T24" s="159">
        <v>1</v>
      </c>
      <c r="U24" s="326" t="s">
        <v>282</v>
      </c>
      <c r="V24" s="289" t="str">
        <f t="shared" si="9"/>
        <v>Probabilidad</v>
      </c>
      <c r="W24" s="147" t="s">
        <v>12</v>
      </c>
      <c r="X24" s="147" t="s">
        <v>7</v>
      </c>
      <c r="Y24" s="150" t="str">
        <f>IF(AND(W24="Preventivo",X24="Automático"),"50%",IF(AND(W24="Preventivo",X24="Manual"),"40%",IF(AND(W24="Detectivo",X24="Automático"),"40%",IF(AND(W24="Detectivo",X24="Manual"),"30%",IF(AND(W24="Correctivo",X24="Automático"),"35%",IF(AND(W24="Correctivo",X24="Manual"),"25%",""))))))</f>
        <v>40%</v>
      </c>
      <c r="Z24" s="169" t="s">
        <v>17</v>
      </c>
      <c r="AA24" s="170" t="s">
        <v>20</v>
      </c>
      <c r="AB24" s="171" t="s">
        <v>115</v>
      </c>
      <c r="AC24" s="145" t="s">
        <v>283</v>
      </c>
      <c r="AD24" s="164">
        <f>IFERROR(IF(V24="Probabilidad",(N24-(+N24*Y24)),IF(V24="Impacto",N24,"")),"")</f>
        <v>0.36</v>
      </c>
      <c r="AE24" s="151" t="str">
        <f>IFERROR(IF(AD24="","",IF(AD24&lt;=0.2,"Muy Baja",IF(AD24&lt;=0.4,"Baja",IF(AD24&lt;=0.6,"Media",IF(AD24&lt;=0.8,"Alta","Muy Alta"))))),"")</f>
        <v>Baja</v>
      </c>
      <c r="AF24" s="81">
        <f>+AD24</f>
        <v>0.36</v>
      </c>
      <c r="AG24" s="82" t="str">
        <f>IFERROR(IF(AH24="","",IF(AH24&lt;=0.2,"Leve",IF(AH24&lt;=0.4,"Menor",IF(AH24&lt;=0.6,"Moderado",IF(AH24&lt;=0.8,"Mayor","Catastrófico"))))),"")</f>
        <v>Mayor</v>
      </c>
      <c r="AH24" s="81">
        <f>IFERROR(IF(V24="Impacto",(R24-(+R24*Y24)),IF(V24="Probabilidad",R24,"")),"")</f>
        <v>0.8</v>
      </c>
      <c r="AI24" s="83" t="str">
        <f>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Alto</v>
      </c>
      <c r="AJ24" s="436" t="str">
        <f>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Alto</v>
      </c>
      <c r="AK24" s="401" t="s">
        <v>129</v>
      </c>
      <c r="AL24" s="389" t="s">
        <v>625</v>
      </c>
      <c r="AM24" s="391" t="s">
        <v>626</v>
      </c>
      <c r="AN24" s="389" t="s">
        <v>627</v>
      </c>
      <c r="AO24" s="391" t="s">
        <v>407</v>
      </c>
      <c r="AP24" s="391" t="s">
        <v>283</v>
      </c>
      <c r="AQ24" s="391" t="s">
        <v>38</v>
      </c>
    </row>
    <row r="25" spans="2:43" ht="114.75" customHeight="1" x14ac:dyDescent="0.2">
      <c r="B25" s="425"/>
      <c r="C25" s="432"/>
      <c r="D25" s="393"/>
      <c r="E25" s="429"/>
      <c r="F25" s="430"/>
      <c r="G25" s="425"/>
      <c r="H25" s="393"/>
      <c r="I25" s="393"/>
      <c r="J25" s="429"/>
      <c r="K25" s="393"/>
      <c r="L25" s="477"/>
      <c r="M25" s="465"/>
      <c r="N25" s="420"/>
      <c r="O25" s="461"/>
      <c r="P25" s="420"/>
      <c r="Q25" s="460"/>
      <c r="R25" s="420"/>
      <c r="S25" s="462"/>
      <c r="T25" s="160">
        <v>2</v>
      </c>
      <c r="U25" s="222" t="s">
        <v>284</v>
      </c>
      <c r="V25" s="178" t="str">
        <f t="shared" si="9"/>
        <v>Probabilidad</v>
      </c>
      <c r="W25" s="168" t="s">
        <v>12</v>
      </c>
      <c r="X25" s="168" t="s">
        <v>7</v>
      </c>
      <c r="Y25" s="150" t="str">
        <f t="shared" ref="Y25" si="26">IF(AND(W25="Preventivo",X25="Automático"),"50%",IF(AND(W25="Preventivo",X25="Manual"),"40%",IF(AND(W25="Detectivo",X25="Automático"),"40%",IF(AND(W25="Detectivo",X25="Manual"),"30%",IF(AND(W25="Correctivo",X25="Automático"),"35%",IF(AND(W25="Correctivo",X25="Manual"),"25%",""))))))</f>
        <v>40%</v>
      </c>
      <c r="Z25" s="169" t="s">
        <v>18</v>
      </c>
      <c r="AA25" s="170" t="s">
        <v>20</v>
      </c>
      <c r="AB25" s="171" t="s">
        <v>114</v>
      </c>
      <c r="AC25" s="145" t="s">
        <v>285</v>
      </c>
      <c r="AD25" s="164">
        <f>IFERROR(IF(AND(V24="Probabilidad",V25="Probabilidad"),(AF24-(+AF24*Y25)),IF(V25="Probabilidad",(N24-(+N24*Y25)),IF(V25="Impacto",AF24,""))),"")</f>
        <v>0.216</v>
      </c>
      <c r="AE25" s="151" t="str">
        <f t="shared" ref="AE25" si="27">IFERROR(IF(AD25="","",IF(AD25&lt;=0.2,"Muy Baja",IF(AD25&lt;=0.4,"Baja",IF(AD25&lt;=0.6,"Media",IF(AD25&lt;=0.8,"Alta","Muy Alta"))))),"")</f>
        <v>Baja</v>
      </c>
      <c r="AF25" s="81">
        <f t="shared" ref="AF25" si="28">+AD25</f>
        <v>0.216</v>
      </c>
      <c r="AG25" s="82" t="str">
        <f t="shared" ref="AG25" si="29">IFERROR(IF(AH25="","",IF(AH25&lt;=0.2,"Leve",IF(AH25&lt;=0.4,"Menor",IF(AH25&lt;=0.6,"Moderado",IF(AH25&lt;=0.8,"Mayor","Catastrófico"))))),"")</f>
        <v>Mayor</v>
      </c>
      <c r="AH25" s="152">
        <f>IFERROR(IF(AND(V24="Impacto",V25="Impacto"),(AH24-(+AH24*Y25)),IF(V25="Impacto",(#REF!-(+#REF!*Y25)),IF(V25="Probabilidad",AH24,""))),"")</f>
        <v>0.8</v>
      </c>
      <c r="AI25" s="83" t="str">
        <f t="shared" ref="AI25" si="30">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Alto</v>
      </c>
      <c r="AJ25" s="438"/>
      <c r="AK25" s="402"/>
      <c r="AL25" s="390"/>
      <c r="AM25" s="392"/>
      <c r="AN25" s="390"/>
      <c r="AO25" s="392"/>
      <c r="AP25" s="392"/>
      <c r="AQ25" s="392"/>
    </row>
    <row r="26" spans="2:43" ht="148.5" customHeight="1" x14ac:dyDescent="0.2">
      <c r="B26" s="425"/>
      <c r="C26" s="205" t="s">
        <v>244</v>
      </c>
      <c r="D26" s="143">
        <v>11</v>
      </c>
      <c r="E26" s="214" t="s">
        <v>252</v>
      </c>
      <c r="F26" s="200" t="s">
        <v>263</v>
      </c>
      <c r="G26" s="136" t="s">
        <v>575</v>
      </c>
      <c r="H26" s="143" t="s">
        <v>563</v>
      </c>
      <c r="I26" s="143" t="s">
        <v>565</v>
      </c>
      <c r="J26" s="214" t="s">
        <v>123</v>
      </c>
      <c r="K26" s="143" t="s">
        <v>624</v>
      </c>
      <c r="L26" s="217">
        <v>72</v>
      </c>
      <c r="M26" s="216" t="str">
        <f>IF(L26&lt;=0,"",IF(L26&lt;=2,"Muy Baja",IF(L26&lt;=24,"Baja",IF(L26&lt;=500,"Media",IF(L26&lt;=5000,"Alta","Muy Alta")))))</f>
        <v>Media</v>
      </c>
      <c r="N26" s="153">
        <f>IF(M26="","",IF(M26="Muy Baja",0.2,IF(M26="Baja",0.4,IF(M26="Media",0.6,IF(M26="Alta",0.8,IF(M26="Muy Alta",1,))))))</f>
        <v>0.6</v>
      </c>
      <c r="O26" s="219" t="s">
        <v>146</v>
      </c>
      <c r="P26" s="153" t="s">
        <v>146</v>
      </c>
      <c r="Q26" s="196" t="str">
        <f>IF(OR(P26='Tabla Impacto'!$C$11,P26='Tabla Impacto'!$D$11),"Leve",IF(OR(P26='Tabla Impacto'!$C$12,P26='Tabla Impacto'!$D$12),"Menor",IF(OR(P26='Tabla Impacto'!$C$13,P26='Tabla Impacto'!$D$13),"Moderado",IF(OR(P26='Tabla Impacto'!$C$14,P26='Tabla Impacto'!$D$14),"Mayor",IF(OR(P26='Tabla Impacto'!$C$15,P26='Tabla Impacto'!$D$15),"Catastrófico","")))))</f>
        <v>Mayor</v>
      </c>
      <c r="R26" s="153">
        <f>IF(Q26="","",IF(Q26="Leve",0.2,IF(Q26="Menor",0.4,IF(Q26="Moderado",0.6,IF(Q26="Mayor",0.8,IF(Q26="Catastrófico",1,))))))</f>
        <v>0.8</v>
      </c>
      <c r="S26" s="248" t="str">
        <f>IF(OR(AND(M26="Muy Baja",Q26="Leve"),AND(M26="Muy Baja",Q26="Menor"),AND(M26="Baja",Q26="Leve")),"Bajo",IF(OR(AND(M26="Muy baja",Q26="Moderado"),AND(M26="Baja",Q26="Menor"),AND(M26="Baja",Q26="Moderado"),AND(M26="Media",Q26="Leve"),AND(M26="Media",Q26="Menor"),AND(M26="Media",Q26="Moderado"),AND(M26="Alta",Q26="Leve"),AND(M26="Alta",Q26="Menor")),"Moderado",IF(OR(AND(M26="Muy Baja",Q26="Mayor"),AND(M26="Baja",Q26="Mayor"),AND(M26="Media",Q26="Mayor"),AND(M26="Alta",Q26="Moderado"),AND(M26="Alta",Q26="Mayor"),AND(M26="Muy Alta",Q26="Leve"),AND(M26="Muy Alta",Q26="Menor"),AND(M26="Muy Alta",Q26="Moderado"),AND(M26="Muy Alta",Q26="Mayor")),"Alto",IF(OR(AND(M26="Muy Baja",Q26="Catastrófico"),AND(M26="Baja",Q26="Catastrófico"),AND(M26="Media",Q26="Catastrófico"),AND(M26="Alta",Q26="Catastrófico"),AND(M26="Muy Alta",Q26="Catastrófico")),"Extremo",""))))</f>
        <v>Alto</v>
      </c>
      <c r="T26" s="160">
        <v>1</v>
      </c>
      <c r="U26" s="222" t="s">
        <v>286</v>
      </c>
      <c r="V26" s="178" t="str">
        <f t="shared" si="9"/>
        <v>Probabilidad</v>
      </c>
      <c r="W26" s="168" t="s">
        <v>12</v>
      </c>
      <c r="X26" s="168" t="s">
        <v>7</v>
      </c>
      <c r="Y26" s="150" t="str">
        <f>IF(AND(W26="Preventivo",X26="Automático"),"50%",IF(AND(W26="Preventivo",X26="Manual"),"40%",IF(AND(W26="Detectivo",X26="Automático"),"40%",IF(AND(W26="Detectivo",X26="Manual"),"30%",IF(AND(W26="Correctivo",X26="Automático"),"35%",IF(AND(W26="Correctivo",X26="Manual"),"25%",""))))))</f>
        <v>40%</v>
      </c>
      <c r="Z26" s="169" t="s">
        <v>17</v>
      </c>
      <c r="AA26" s="170" t="s">
        <v>20</v>
      </c>
      <c r="AB26" s="171" t="s">
        <v>114</v>
      </c>
      <c r="AC26" s="145" t="s">
        <v>287</v>
      </c>
      <c r="AD26" s="164">
        <f>IFERROR(IF(V26="Probabilidad",(N26-(+N26*Y26)),IF(V26="Impacto",N26,"")),"")</f>
        <v>0.36</v>
      </c>
      <c r="AE26" s="151" t="str">
        <f>IFERROR(IF(AD26="","",IF(AD26&lt;=0.2,"Muy Baja",IF(AD26&lt;=0.4,"Baja",IF(AD26&lt;=0.6,"Media",IF(AD26&lt;=0.8,"Alta","Muy Alta"))))),"")</f>
        <v>Baja</v>
      </c>
      <c r="AF26" s="81">
        <f>+AD26</f>
        <v>0.36</v>
      </c>
      <c r="AG26" s="82" t="str">
        <f>IFERROR(IF(AH26="","",IF(AH26&lt;=0.2,"Leve",IF(AH26&lt;=0.4,"Menor",IF(AH26&lt;=0.6,"Moderado",IF(AH26&lt;=0.8,"Mayor","Catastrófico"))))),"")</f>
        <v>Mayor</v>
      </c>
      <c r="AH26" s="81">
        <f>IFERROR(IF(V26="Impacto",(R26-(+R26*Y26)),IF(V26="Probabilidad",R26,"")),"")</f>
        <v>0.8</v>
      </c>
      <c r="AI26" s="83" t="str">
        <f>IFERROR(IF(OR(AND(AE26="Muy Baja",AG26="Leve"),AND(AE26="Muy Baja",AG26="Menor"),AND(AE26="Baja",AG26="Leve")),"Bajo",IF(OR(AND(AE26="Muy baja",AG26="Moderado"),AND(AE26="Baja",AG26="Menor"),AND(AE26="Baja",AG26="Moderado"),AND(AE26="Media",AG26="Leve"),AND(AE26="Media",AG26="Menor"),AND(AE26="Media",AG26="Moderado"),AND(AE26="Alta",AG26="Leve"),AND(AE26="Alta",AG26="Menor")),"Moderado",IF(OR(AND(AE26="Muy Baja",AG26="Mayor"),AND(AE26="Baja",AG26="Mayor"),AND(AE26="Media",AG26="Mayor"),AND(AE26="Alta",AG26="Moderado"),AND(AE26="Alta",AG26="Mayor"),AND(AE26="Muy Alta",AG26="Leve"),AND(AE26="Muy Alta",AG26="Menor"),AND(AE26="Muy Alta",AG26="Moderado"),AND(AE26="Muy Alta",AG26="Mayor")),"Alto",IF(OR(AND(AE26="Muy Baja",AG26="Catastrófico"),AND(AE26="Baja",AG26="Catastrófico"),AND(AE26="Media",AG26="Catastrófico"),AND(AE26="Alta",AG26="Catastrófico"),AND(AE26="Muy Alta",AG26="Catastrófico")),"Extremo","")))),"")</f>
        <v>Alto</v>
      </c>
      <c r="AJ26" s="83" t="str">
        <f>$AI$26</f>
        <v>Alto</v>
      </c>
      <c r="AK26" s="234" t="s">
        <v>129</v>
      </c>
      <c r="AL26" s="136" t="s">
        <v>628</v>
      </c>
      <c r="AM26" s="236" t="s">
        <v>626</v>
      </c>
      <c r="AN26" s="185" t="s">
        <v>627</v>
      </c>
      <c r="AO26" s="236" t="s">
        <v>407</v>
      </c>
      <c r="AP26" s="136" t="s">
        <v>287</v>
      </c>
      <c r="AQ26" s="236" t="s">
        <v>38</v>
      </c>
    </row>
    <row r="27" spans="2:43" ht="174" customHeight="1" x14ac:dyDescent="0.2">
      <c r="B27" s="425"/>
      <c r="C27" s="205" t="s">
        <v>244</v>
      </c>
      <c r="D27" s="143">
        <v>12</v>
      </c>
      <c r="E27" s="214" t="s">
        <v>253</v>
      </c>
      <c r="F27" s="200" t="s">
        <v>264</v>
      </c>
      <c r="G27" s="136" t="s">
        <v>575</v>
      </c>
      <c r="H27" s="143" t="s">
        <v>563</v>
      </c>
      <c r="I27" s="143" t="s">
        <v>565</v>
      </c>
      <c r="J27" s="214" t="s">
        <v>118</v>
      </c>
      <c r="K27" s="143" t="s">
        <v>624</v>
      </c>
      <c r="L27" s="217">
        <v>12</v>
      </c>
      <c r="M27" s="216" t="str">
        <f>IF(L27&lt;=0,"",IF(L27&lt;=2,"Muy Baja",IF(L27&lt;=24,"Baja",IF(L27&lt;=500,"Media",IF(L27&lt;=5000,"Alta","Muy Alta")))))</f>
        <v>Baja</v>
      </c>
      <c r="N27" s="153">
        <f>IF(M27="","",IF(M27="Muy Baja",0.2,IF(M27="Baja",0.4,IF(M27="Media",0.6,IF(M27="Alta",0.8,IF(M27="Muy Alta",1,))))))</f>
        <v>0.4</v>
      </c>
      <c r="O27" s="219" t="s">
        <v>146</v>
      </c>
      <c r="P27" s="153" t="s">
        <v>146</v>
      </c>
      <c r="Q27" s="196" t="str">
        <f>IF(OR(P27='Tabla Impacto'!$C$11,P27='Tabla Impacto'!$D$11),"Leve",IF(OR(P27='Tabla Impacto'!$C$12,P27='Tabla Impacto'!$D$12),"Menor",IF(OR(P27='Tabla Impacto'!$C$13,P27='Tabla Impacto'!$D$13),"Moderado",IF(OR(P27='Tabla Impacto'!$C$14,P27='Tabla Impacto'!$D$14),"Mayor",IF(OR(P27='Tabla Impacto'!$C$15,P27='Tabla Impacto'!$D$15),"Catastrófico","")))))</f>
        <v>Mayor</v>
      </c>
      <c r="R27" s="153">
        <f>IF(Q27="","",IF(Q27="Leve",0.2,IF(Q27="Menor",0.4,IF(Q27="Moderado",0.6,IF(Q27="Mayor",0.8,IF(Q27="Catastrófico",1,))))))</f>
        <v>0.8</v>
      </c>
      <c r="S27" s="248" t="str">
        <f>IF(OR(AND(M27="Muy Baja",Q27="Leve"),AND(M27="Muy Baja",Q27="Menor"),AND(M27="Baja",Q27="Leve")),"Bajo",IF(OR(AND(M27="Muy baja",Q27="Moderado"),AND(M27="Baja",Q27="Menor"),AND(M27="Baja",Q27="Moderado"),AND(M27="Media",Q27="Leve"),AND(M27="Media",Q27="Menor"),AND(M27="Media",Q27="Moderado"),AND(M27="Alta",Q27="Leve"),AND(M27="Alta",Q27="Menor")),"Moderado",IF(OR(AND(M27="Muy Baja",Q27="Mayor"),AND(M27="Baja",Q27="Mayor"),AND(M27="Media",Q27="Mayor"),AND(M27="Alta",Q27="Moderado"),AND(M27="Alta",Q27="Mayor"),AND(M27="Muy Alta",Q27="Leve"),AND(M27="Muy Alta",Q27="Menor"),AND(M27="Muy Alta",Q27="Moderado"),AND(M27="Muy Alta",Q27="Mayor")),"Alto",IF(OR(AND(M27="Muy Baja",Q27="Catastrófico"),AND(M27="Baja",Q27="Catastrófico"),AND(M27="Media",Q27="Catastrófico"),AND(M27="Alta",Q27="Catastrófico"),AND(M27="Muy Alta",Q27="Catastrófico")),"Extremo",""))))</f>
        <v>Alto</v>
      </c>
      <c r="T27" s="160">
        <v>1</v>
      </c>
      <c r="U27" s="222" t="s">
        <v>288</v>
      </c>
      <c r="V27" s="178" t="str">
        <f t="shared" ref="V27:V28" si="31">IF(OR(W27="Preventivo",W27="Detectivo"),"Probabilidad",IF(W27="Correctivo","Impacto",""))</f>
        <v>Probabilidad</v>
      </c>
      <c r="W27" s="168" t="s">
        <v>12</v>
      </c>
      <c r="X27" s="168" t="s">
        <v>7</v>
      </c>
      <c r="Y27" s="150" t="str">
        <f t="shared" ref="Y27" si="32">IF(AND(W27="Preventivo",X27="Automático"),"50%",IF(AND(W27="Preventivo",X27="Manual"),"40%",IF(AND(W27="Detectivo",X27="Automático"),"40%",IF(AND(W27="Detectivo",X27="Manual"),"30%",IF(AND(W27="Correctivo",X27="Automático"),"35%",IF(AND(W27="Correctivo",X27="Manual"),"25%",""))))))</f>
        <v>40%</v>
      </c>
      <c r="Z27" s="169" t="s">
        <v>18</v>
      </c>
      <c r="AA27" s="170" t="s">
        <v>20</v>
      </c>
      <c r="AB27" s="171" t="s">
        <v>114</v>
      </c>
      <c r="AC27" s="145" t="s">
        <v>289</v>
      </c>
      <c r="AD27" s="164">
        <f>IFERROR(IF(V27="Probabilidad",(N27-(+N27*Y27)),IF(V27="Impacto",N27,"")),"")</f>
        <v>0.24</v>
      </c>
      <c r="AE27" s="151" t="str">
        <f>IFERROR(IF(AD27="","",IF(AD27&lt;=0.2,"Muy Baja",IF(AD27&lt;=0.4,"Baja",IF(AD27&lt;=0.6,"Media",IF(AD27&lt;=0.8,"Alta","Muy Alta"))))),"")</f>
        <v>Baja</v>
      </c>
      <c r="AF27" s="81">
        <f>+AD27</f>
        <v>0.24</v>
      </c>
      <c r="AG27" s="82" t="str">
        <f>IFERROR(IF(AH27="","",IF(AH27&lt;=0.2,"Leve",IF(AH27&lt;=0.4,"Menor",IF(AH27&lt;=0.6,"Moderado",IF(AH27&lt;=0.8,"Mayor","Catastrófico"))))),"")</f>
        <v>Mayor</v>
      </c>
      <c r="AH27" s="81">
        <f>IFERROR(IF(V27="Impacto",(R27-(+R27*Y27)),IF(V27="Probabilidad",R27,"")),"")</f>
        <v>0.8</v>
      </c>
      <c r="AI27" s="83" t="str">
        <f>IFERROR(IF(OR(AND(AE27="Muy Baja",AG27="Leve"),AND(AE27="Muy Baja",AG27="Menor"),AND(AE27="Baja",AG27="Leve")),"Bajo",IF(OR(AND(AE27="Muy baja",AG27="Moderado"),AND(AE27="Baja",AG27="Menor"),AND(AE27="Baja",AG27="Moderado"),AND(AE27="Media",AG27="Leve"),AND(AE27="Media",AG27="Menor"),AND(AE27="Media",AG27="Moderado"),AND(AE27="Alta",AG27="Leve"),AND(AE27="Alta",AG27="Menor")),"Moderado",IF(OR(AND(AE27="Muy Baja",AG27="Mayor"),AND(AE27="Baja",AG27="Mayor"),AND(AE27="Media",AG27="Mayor"),AND(AE27="Alta",AG27="Moderado"),AND(AE27="Alta",AG27="Mayor"),AND(AE27="Muy Alta",AG27="Leve"),AND(AE27="Muy Alta",AG27="Menor"),AND(AE27="Muy Alta",AG27="Moderado"),AND(AE27="Muy Alta",AG27="Mayor")),"Alto",IF(OR(AND(AE27="Muy Baja",AG27="Catastrófico"),AND(AE27="Baja",AG27="Catastrófico"),AND(AE27="Media",AG27="Catastrófico"),AND(AE27="Alta",AG27="Catastrófico"),AND(AE27="Muy Alta",AG27="Catastrófico")),"Extremo","")))),"")</f>
        <v>Alto</v>
      </c>
      <c r="AJ27" s="83" t="str">
        <f>$AI$27</f>
        <v>Alto</v>
      </c>
      <c r="AK27" s="234" t="s">
        <v>129</v>
      </c>
      <c r="AL27" s="210" t="s">
        <v>629</v>
      </c>
      <c r="AM27" s="236" t="s">
        <v>626</v>
      </c>
      <c r="AN27" s="185" t="s">
        <v>627</v>
      </c>
      <c r="AO27" s="236" t="s">
        <v>407</v>
      </c>
      <c r="AP27" s="210" t="s">
        <v>289</v>
      </c>
      <c r="AQ27" s="236" t="s">
        <v>38</v>
      </c>
    </row>
    <row r="28" spans="2:43" ht="145.5" customHeight="1" x14ac:dyDescent="0.2">
      <c r="B28" s="425"/>
      <c r="C28" s="205" t="s">
        <v>244</v>
      </c>
      <c r="D28" s="143">
        <v>13</v>
      </c>
      <c r="E28" s="214" t="s">
        <v>254</v>
      </c>
      <c r="F28" s="200" t="s">
        <v>265</v>
      </c>
      <c r="G28" s="136" t="s">
        <v>576</v>
      </c>
      <c r="H28" s="143" t="s">
        <v>563</v>
      </c>
      <c r="I28" s="143" t="s">
        <v>565</v>
      </c>
      <c r="J28" s="214" t="s">
        <v>123</v>
      </c>
      <c r="K28" s="143" t="s">
        <v>624</v>
      </c>
      <c r="L28" s="217">
        <v>12</v>
      </c>
      <c r="M28" s="216" t="str">
        <f>IF(L28&lt;=0,"",IF(L28&lt;=2,"Muy Baja",IF(L28&lt;=24,"Baja",IF(L28&lt;=500,"Media",IF(L28&lt;=5000,"Alta","Muy Alta")))))</f>
        <v>Baja</v>
      </c>
      <c r="N28" s="153">
        <f>IF(M28="","",IF(M28="Muy Baja",0.2,IF(M28="Baja",0.4,IF(M28="Media",0.6,IF(M28="Alta",0.8,IF(M28="Muy Alta",1,))))))</f>
        <v>0.4</v>
      </c>
      <c r="O28" s="219" t="s">
        <v>146</v>
      </c>
      <c r="P28" s="153" t="s">
        <v>146</v>
      </c>
      <c r="Q28" s="196" t="str">
        <f>IF(OR(P28='Tabla Impacto'!$C$11,P28='Tabla Impacto'!$D$11),"Leve",IF(OR(P28='Tabla Impacto'!$C$12,P28='Tabla Impacto'!$D$12),"Menor",IF(OR(P28='Tabla Impacto'!$C$13,P28='Tabla Impacto'!$D$13),"Moderado",IF(OR(P28='Tabla Impacto'!$C$14,P28='Tabla Impacto'!$D$14),"Mayor",IF(OR(P28='Tabla Impacto'!$C$15,P28='Tabla Impacto'!$D$15),"Catastrófico","")))))</f>
        <v>Mayor</v>
      </c>
      <c r="R28" s="153">
        <f>IF(Q28="","",IF(Q28="Leve",0.2,IF(Q28="Menor",0.4,IF(Q28="Moderado",0.6,IF(Q28="Mayor",0.8,IF(Q28="Catastrófico",1,))))))</f>
        <v>0.8</v>
      </c>
      <c r="S28" s="248" t="str">
        <f>IF(OR(AND(M28="Muy Baja",Q28="Leve"),AND(M28="Muy Baja",Q28="Menor"),AND(M28="Baja",Q28="Leve")),"Bajo",IF(OR(AND(M28="Muy baja",Q28="Moderado"),AND(M28="Baja",Q28="Menor"),AND(M28="Baja",Q28="Moderado"),AND(M28="Media",Q28="Leve"),AND(M28="Media",Q28="Menor"),AND(M28="Media",Q28="Moderado"),AND(M28="Alta",Q28="Leve"),AND(M28="Alta",Q28="Menor")),"Moderado",IF(OR(AND(M28="Muy Baja",Q28="Mayor"),AND(M28="Baja",Q28="Mayor"),AND(M28="Media",Q28="Mayor"),AND(M28="Alta",Q28="Moderado"),AND(M28="Alta",Q28="Mayor"),AND(M28="Muy Alta",Q28="Leve"),AND(M28="Muy Alta",Q28="Menor"),AND(M28="Muy Alta",Q28="Moderado"),AND(M28="Muy Alta",Q28="Mayor")),"Alto",IF(OR(AND(M28="Muy Baja",Q28="Catastrófico"),AND(M28="Baja",Q28="Catastrófico"),AND(M28="Media",Q28="Catastrófico"),AND(M28="Alta",Q28="Catastrófico"),AND(M28="Muy Alta",Q28="Catastrófico")),"Extremo",""))))</f>
        <v>Alto</v>
      </c>
      <c r="T28" s="160">
        <v>1</v>
      </c>
      <c r="U28" s="222" t="s">
        <v>290</v>
      </c>
      <c r="V28" s="178" t="str">
        <f t="shared" si="31"/>
        <v>Probabilidad</v>
      </c>
      <c r="W28" s="168" t="s">
        <v>12</v>
      </c>
      <c r="X28" s="168" t="s">
        <v>7</v>
      </c>
      <c r="Y28" s="150" t="str">
        <f>IF(AND(W28="Preventivo",X28="Automático"),"50%",IF(AND(W28="Preventivo",X28="Manual"),"40%",IF(AND(W28="Detectivo",X28="Automático"),"40%",IF(AND(W28="Detectivo",X28="Manual"),"30%",IF(AND(W28="Correctivo",X28="Automático"),"35%",IF(AND(W28="Correctivo",X28="Manual"),"25%",""))))))</f>
        <v>40%</v>
      </c>
      <c r="Z28" s="169" t="s">
        <v>18</v>
      </c>
      <c r="AA28" s="170" t="s">
        <v>20</v>
      </c>
      <c r="AB28" s="171" t="s">
        <v>114</v>
      </c>
      <c r="AC28" s="145" t="s">
        <v>291</v>
      </c>
      <c r="AD28" s="164">
        <f>IFERROR(IF(V28="Probabilidad",(N28-(+N28*Y28)),IF(V28="Impacto",N28,"")),"")</f>
        <v>0.24</v>
      </c>
      <c r="AE28" s="151" t="str">
        <f>IFERROR(IF(AD28="","",IF(AD28&lt;=0.2,"Muy Baja",IF(AD28&lt;=0.4,"Baja",IF(AD28&lt;=0.6,"Media",IF(AD28&lt;=0.8,"Alta","Muy Alta"))))),"")</f>
        <v>Baja</v>
      </c>
      <c r="AF28" s="81">
        <f>+AD28</f>
        <v>0.24</v>
      </c>
      <c r="AG28" s="82" t="str">
        <f>IFERROR(IF(AH28="","",IF(AH28&lt;=0.2,"Leve",IF(AH28&lt;=0.4,"Menor",IF(AH28&lt;=0.6,"Moderado",IF(AH28&lt;=0.8,"Mayor","Catastrófico"))))),"")</f>
        <v>Mayor</v>
      </c>
      <c r="AH28" s="81">
        <f>IFERROR(IF(V28="Impacto",(R28-(+R28*Y28)),IF(V28="Probabilidad",R28,"")),"")</f>
        <v>0.8</v>
      </c>
      <c r="AI28" s="83" t="str">
        <f>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Alto</v>
      </c>
      <c r="AJ28" s="83" t="str">
        <f>$AI$28</f>
        <v>Alto</v>
      </c>
      <c r="AK28" s="234" t="s">
        <v>129</v>
      </c>
      <c r="AL28" s="185" t="s">
        <v>630</v>
      </c>
      <c r="AM28" s="236" t="s">
        <v>626</v>
      </c>
      <c r="AN28" s="185" t="s">
        <v>627</v>
      </c>
      <c r="AO28" s="236" t="s">
        <v>407</v>
      </c>
      <c r="AP28" s="136" t="s">
        <v>291</v>
      </c>
      <c r="AQ28" s="236" t="s">
        <v>38</v>
      </c>
    </row>
    <row r="29" spans="2:43" ht="134.25" customHeight="1" x14ac:dyDescent="0.2">
      <c r="B29" s="425" t="s">
        <v>293</v>
      </c>
      <c r="C29" s="428" t="s">
        <v>293</v>
      </c>
      <c r="D29" s="393">
        <v>14</v>
      </c>
      <c r="E29" s="455" t="s">
        <v>707</v>
      </c>
      <c r="F29" s="433" t="s">
        <v>708</v>
      </c>
      <c r="G29" s="433" t="s">
        <v>701</v>
      </c>
      <c r="H29" s="393" t="s">
        <v>563</v>
      </c>
      <c r="I29" s="393" t="s">
        <v>565</v>
      </c>
      <c r="J29" s="433" t="s">
        <v>123</v>
      </c>
      <c r="K29" s="393" t="s">
        <v>624</v>
      </c>
      <c r="L29" s="448">
        <f>365*90</f>
        <v>32850</v>
      </c>
      <c r="M29" s="395" t="str">
        <f>IF(L29&lt;=0,"",IF(L29&lt;=2,"Muy Baja",IF(L29&lt;=24,"Baja",IF(L29&lt;=500,"Media",IF(L29&lt;=5000,"Alta","Muy Alta")))))</f>
        <v>Muy Alta</v>
      </c>
      <c r="N29" s="410">
        <f>IF(M29="","",IF(M29="Muy Baja",0.2,IF(M29="Baja",0.4,IF(M29="Media",0.6,IF(M29="Alta",0.8,IF(M29="Muy Alta",1,))))))</f>
        <v>1</v>
      </c>
      <c r="O29" s="490" t="s">
        <v>145</v>
      </c>
      <c r="P29" s="420" t="s">
        <v>145</v>
      </c>
      <c r="Q29" s="460" t="str">
        <f>IF(OR(P29='Tabla Impacto'!$C$11,P29='Tabla Impacto'!$D$11),"Leve",IF(OR(P29='Tabla Impacto'!$C$12,P29='Tabla Impacto'!$D$12),"Menor",IF(OR(P29='Tabla Impacto'!$C$13,P29='Tabla Impacto'!$D$13),"Moderado",IF(OR(P29='Tabla Impacto'!$C$14,P29='Tabla Impacto'!$D$14),"Mayor",IF(OR(P29='Tabla Impacto'!$C$15,P29='Tabla Impacto'!$D$15),"Catastrófico","")))))</f>
        <v>Moderado</v>
      </c>
      <c r="R29" s="410">
        <f>IF(Q29="","",IF(Q29="Leve",0.2,IF(Q29="Menor",0.4,IF(Q29="Moderado",0.6,IF(Q29="Mayor",0.8,IF(Q29="Catastrófico",1,))))))</f>
        <v>0.6</v>
      </c>
      <c r="S29" s="422" t="str">
        <f>IF(OR(AND(M29="Muy Baja",Q29="Leve"),AND(M29="Muy Baja",Q29="Menor"),AND(M29="Baja",Q29="Leve")),"Bajo",IF(OR(AND(M29="Muy baja",Q29="Moderado"),AND(M29="Baja",Q29="Menor"),AND(M29="Baja",Q29="Moderado"),AND(M29="Media",Q29="Leve"),AND(M29="Media",Q29="Menor"),AND(M29="Media",Q29="Moderado"),AND(M29="Alta",Q29="Leve"),AND(M29="Alta",Q29="Menor")),"Moderado",IF(OR(AND(M29="Muy Baja",Q29="Mayor"),AND(M29="Baja",Q29="Mayor"),AND(M29="Media",Q29="Mayor"),AND(M29="Alta",Q29="Moderado"),AND(M29="Alta",Q29="Mayor"),AND(M29="Muy Alta",Q29="Leve"),AND(M29="Muy Alta",Q29="Menor"),AND(M29="Muy Alta",Q29="Moderado"),AND(M29="Muy Alta",Q29="Mayor")),"Alto",IF(OR(AND(M29="Muy Baja",Q29="Catastrófico"),AND(M29="Baja",Q29="Catastrófico"),AND(M29="Media",Q29="Catastrófico"),AND(M29="Alta",Q29="Catastrófico"),AND(M29="Muy Alta",Q29="Catastrófico")),"Extremo",""))))</f>
        <v>Alto</v>
      </c>
      <c r="T29" s="141">
        <v>1</v>
      </c>
      <c r="U29" s="144" t="s">
        <v>732</v>
      </c>
      <c r="V29" s="146" t="str">
        <f t="shared" ref="V29:V36" si="33">IF(OR(W29="Preventivo",W29="Detectivo"),"Probabilidad",IF(W29="Correctivo","Impacto",""))</f>
        <v>Probabilidad</v>
      </c>
      <c r="W29" s="147" t="s">
        <v>12</v>
      </c>
      <c r="X29" s="147" t="s">
        <v>7</v>
      </c>
      <c r="Y29" s="148" t="str">
        <f>IF(AND(W29="Preventivo",X29="Automático"),"50%",IF(AND(W29="Preventivo",X29="Manual"),"40%",IF(AND(W29="Detectivo",X29="Automático"),"40%",IF(AND(W29="Detectivo",X29="Manual"),"30%",IF(AND(W29="Correctivo",X29="Automático"),"35%",IF(AND(W29="Correctivo",X29="Manual"),"25%",""))))))</f>
        <v>40%</v>
      </c>
      <c r="Z29" s="161" t="s">
        <v>17</v>
      </c>
      <c r="AA29" s="162" t="s">
        <v>20</v>
      </c>
      <c r="AB29" s="163" t="s">
        <v>114</v>
      </c>
      <c r="AC29" s="145" t="s">
        <v>296</v>
      </c>
      <c r="AD29" s="164">
        <f>IFERROR(IF(V29="Probabilidad",(N29-(+N29*Y29)),IF(V29="Impacto",N29,"")),"")</f>
        <v>0.6</v>
      </c>
      <c r="AE29" s="165" t="str">
        <f>IFERROR(IF(AD29="","",IF(AD29&lt;=0.2,"Muy Baja",IF(AD29&lt;=0.4,"Baja",IF(AD29&lt;=0.6,"Media",IF(AD29&lt;=0.8,"Alta","Muy Alta"))))),"")</f>
        <v>Media</v>
      </c>
      <c r="AF29" s="148">
        <f>+AD29</f>
        <v>0.6</v>
      </c>
      <c r="AG29" s="166" t="str">
        <f>IFERROR(IF(AH29="","",IF(AH29&lt;=0.2,"Leve",IF(AH29&lt;=0.4,"Menor",IF(AH29&lt;=0.6,"Moderado",IF(AH29&lt;=0.8,"Mayor","Catastrófico"))))),"")</f>
        <v>Moderado</v>
      </c>
      <c r="AH29" s="148">
        <f>IFERROR(IF(V29="Impacto",(R29-(+R29*Y29)),IF(V29="Probabilidad",R29,"")),"")</f>
        <v>0.6</v>
      </c>
      <c r="AI29" s="167" t="str">
        <f>IFERROR(IF(OR(AND(AE29="Muy Baja",AG29="Leve"),AND(AE29="Muy Baja",AG29="Menor"),AND(AE29="Baja",AG29="Leve")),"Bajo",IF(OR(AND(AE29="Muy baja",AG29="Moderado"),AND(AE29="Baja",AG29="Menor"),AND(AE29="Baja",AG29="Moderado"),AND(AE29="Media",AG29="Leve"),AND(AE29="Media",AG29="Menor"),AND(AE29="Media",AG29="Moderado"),AND(AE29="Alta",AG29="Leve"),AND(AE29="Alta",AG29="Menor")),"Moderado",IF(OR(AND(AE29="Muy Baja",AG29="Mayor"),AND(AE29="Baja",AG29="Mayor"),AND(AE29="Media",AG29="Mayor"),AND(AE29="Alta",AG29="Moderado"),AND(AE29="Alta",AG29="Mayor"),AND(AE29="Muy Alta",AG29="Leve"),AND(AE29="Muy Alta",AG29="Menor"),AND(AE29="Muy Alta",AG29="Moderado"),AND(AE29="Muy Alta",AG29="Mayor")),"Alto",IF(OR(AND(AE29="Muy Baja",AG29="Catastrófico"),AND(AE29="Baja",AG29="Catastrófico"),AND(AE29="Media",AG29="Catastrófico"),AND(AE29="Alta",AG29="Catastrófico"),AND(AE29="Muy Alta",AG29="Catastrófico")),"Extremo","")))),"")</f>
        <v>Moderado</v>
      </c>
      <c r="AJ29" s="436" t="str">
        <f>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Moderado</v>
      </c>
      <c r="AK29" s="463" t="s">
        <v>30</v>
      </c>
      <c r="AL29" s="387"/>
      <c r="AM29" s="449"/>
      <c r="AN29" s="449"/>
      <c r="AO29" s="387"/>
      <c r="AP29" s="394"/>
      <c r="AQ29" s="158"/>
    </row>
    <row r="30" spans="2:43" ht="78.75" customHeight="1" x14ac:dyDescent="0.2">
      <c r="B30" s="425"/>
      <c r="C30" s="428"/>
      <c r="D30" s="393"/>
      <c r="E30" s="455"/>
      <c r="F30" s="433"/>
      <c r="G30" s="433"/>
      <c r="H30" s="393"/>
      <c r="I30" s="393"/>
      <c r="J30" s="433"/>
      <c r="K30" s="393"/>
      <c r="L30" s="448"/>
      <c r="M30" s="395"/>
      <c r="N30" s="410"/>
      <c r="O30" s="491"/>
      <c r="P30" s="420"/>
      <c r="Q30" s="460"/>
      <c r="R30" s="410"/>
      <c r="S30" s="422"/>
      <c r="T30" s="143">
        <v>2</v>
      </c>
      <c r="U30" s="144" t="s">
        <v>709</v>
      </c>
      <c r="V30" s="149" t="str">
        <f t="shared" si="33"/>
        <v>Probabilidad</v>
      </c>
      <c r="W30" s="168" t="s">
        <v>12</v>
      </c>
      <c r="X30" s="168" t="s">
        <v>7</v>
      </c>
      <c r="Y30" s="150" t="str">
        <f t="shared" ref="Y30" si="34">IF(AND(W30="Preventivo",X30="Automático"),"50%",IF(AND(W30="Preventivo",X30="Manual"),"40%",IF(AND(W30="Detectivo",X30="Automático"),"40%",IF(AND(W30="Detectivo",X30="Manual"),"30%",IF(AND(W30="Correctivo",X30="Automático"),"35%",IF(AND(W30="Correctivo",X30="Manual"),"25%",""))))))</f>
        <v>40%</v>
      </c>
      <c r="Z30" s="169" t="s">
        <v>17</v>
      </c>
      <c r="AA30" s="170" t="s">
        <v>20</v>
      </c>
      <c r="AB30" s="171" t="s">
        <v>114</v>
      </c>
      <c r="AC30" s="145" t="s">
        <v>298</v>
      </c>
      <c r="AD30" s="164">
        <f>IFERROR(IF(AND(V29="Probabilidad",V30="Probabilidad"),(AF29-(+AF29*Y30)),IF(V30="Probabilidad",(N29-(+N29*Y30)),IF(V30="Impacto",AF29,""))),"")</f>
        <v>0.36</v>
      </c>
      <c r="AE30" s="151" t="str">
        <f t="shared" ref="AE30" si="35">IFERROR(IF(AD30="","",IF(AD30&lt;=0.2,"Muy Baja",IF(AD30&lt;=0.4,"Baja",IF(AD30&lt;=0.6,"Media",IF(AD30&lt;=0.8,"Alta","Muy Alta"))))),"")</f>
        <v>Baja</v>
      </c>
      <c r="AF30" s="81">
        <f t="shared" ref="AF30" si="36">+AD30</f>
        <v>0.36</v>
      </c>
      <c r="AG30" s="82" t="str">
        <f t="shared" ref="AG30" si="37">IFERROR(IF(AH30="","",IF(AH30&lt;=0.2,"Leve",IF(AH30&lt;=0.4,"Menor",IF(AH30&lt;=0.6,"Moderado",IF(AH30&lt;=0.8,"Mayor","Catastrófico"))))),"")</f>
        <v>Moderado</v>
      </c>
      <c r="AH30" s="152">
        <f>IFERROR(IF(AND(V29="Impacto",V30="Impacto"),(AH29-(+AH29*Y30)),IF(V30="Impacto",($M$10-(+$M$10*Y30)),IF(V30="Probabilidad",AH29,""))),"")</f>
        <v>0.6</v>
      </c>
      <c r="AI30" s="83" t="str">
        <f t="shared" ref="AI30" si="38">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Moderado</v>
      </c>
      <c r="AJ30" s="438"/>
      <c r="AK30" s="463"/>
      <c r="AL30" s="387"/>
      <c r="AM30" s="449"/>
      <c r="AN30" s="449"/>
      <c r="AO30" s="387"/>
      <c r="AP30" s="394"/>
      <c r="AQ30" s="158"/>
    </row>
    <row r="31" spans="2:43" ht="131.25" customHeight="1" x14ac:dyDescent="0.2">
      <c r="B31" s="425"/>
      <c r="C31" s="428"/>
      <c r="D31" s="143">
        <v>15</v>
      </c>
      <c r="E31" s="339" t="s">
        <v>733</v>
      </c>
      <c r="F31" s="199" t="s">
        <v>734</v>
      </c>
      <c r="G31" s="136" t="s">
        <v>577</v>
      </c>
      <c r="H31" s="143" t="s">
        <v>563</v>
      </c>
      <c r="I31" s="143" t="s">
        <v>565</v>
      </c>
      <c r="J31" s="199" t="s">
        <v>123</v>
      </c>
      <c r="K31" s="143" t="s">
        <v>624</v>
      </c>
      <c r="L31" s="198">
        <v>2</v>
      </c>
      <c r="M31" s="192" t="str">
        <f t="shared" ref="M31:M44" si="39">IF(L31&lt;=0,"",IF(L31&lt;=2,"Muy Baja",IF(L31&lt;=24,"Baja",IF(L31&lt;=500,"Media",IF(L31&lt;=5000,"Alta","Muy Alta")))))</f>
        <v>Muy Baja</v>
      </c>
      <c r="N31" s="190">
        <f t="shared" ref="N31:N44" si="40">IF(M31="","",IF(M31="Muy Baja",0.2,IF(M31="Baja",0.4,IF(M31="Media",0.6,IF(M31="Alta",0.8,IF(M31="Muy Alta",1,))))))</f>
        <v>0.2</v>
      </c>
      <c r="O31" s="284" t="s">
        <v>145</v>
      </c>
      <c r="P31" s="153" t="s">
        <v>145</v>
      </c>
      <c r="Q31" s="196" t="str">
        <f>IF(OR(P31='Tabla Impacto'!$C$11,P31='Tabla Impacto'!$D$11),"Leve",IF(OR(P31='Tabla Impacto'!$C$12,P31='Tabla Impacto'!$D$12),"Menor",IF(OR(P31='Tabla Impacto'!$C$13,P31='Tabla Impacto'!$D$13),"Moderado",IF(OR(P31='Tabla Impacto'!$C$14,P31='Tabla Impacto'!$D$14),"Mayor",IF(OR(P31='Tabla Impacto'!$C$15,P31='Tabla Impacto'!$D$15),"Catastrófico","")))))</f>
        <v>Moderado</v>
      </c>
      <c r="R31" s="190">
        <f t="shared" ref="R31:R44" si="41">IF(Q31="","",IF(Q31="Leve",0.2,IF(Q31="Menor",0.4,IF(Q31="Moderado",0.6,IF(Q31="Mayor",0.8,IF(Q31="Catastrófico",1,))))))</f>
        <v>0.6</v>
      </c>
      <c r="S31" s="252" t="str">
        <f t="shared" ref="S31:S44" si="42">IF(OR(AND(M31="Muy Baja",Q31="Leve"),AND(M31="Muy Baja",Q31="Menor"),AND(M31="Baja",Q31="Leve")),"Bajo",IF(OR(AND(M31="Muy baja",Q31="Moderado"),AND(M31="Baja",Q31="Menor"),AND(M31="Baja",Q31="Moderado"),AND(M31="Media",Q31="Leve"),AND(M31="Media",Q31="Menor"),AND(M31="Media",Q31="Moderado"),AND(M31="Alta",Q31="Leve"),AND(M31="Alta",Q31="Menor")),"Moderado",IF(OR(AND(M31="Muy Baja",Q31="Mayor"),AND(M31="Baja",Q31="Mayor"),AND(M31="Media",Q31="Mayor"),AND(M31="Alta",Q31="Moderado"),AND(M31="Alta",Q31="Mayor"),AND(M31="Muy Alta",Q31="Leve"),AND(M31="Muy Alta",Q31="Menor"),AND(M31="Muy Alta",Q31="Moderado"),AND(M31="Muy Alta",Q31="Mayor")),"Alto",IF(OR(AND(M31="Muy Baja",Q31="Catastrófico"),AND(M31="Baja",Q31="Catastrófico"),AND(M31="Media",Q31="Catastrófico"),AND(M31="Alta",Q31="Catastrófico"),AND(M31="Muy Alta",Q31="Catastrófico")),"Extremo",""))))</f>
        <v>Moderado</v>
      </c>
      <c r="T31" s="143">
        <v>1</v>
      </c>
      <c r="U31" s="140" t="s">
        <v>735</v>
      </c>
      <c r="V31" s="149" t="str">
        <f t="shared" si="33"/>
        <v>Probabilidad</v>
      </c>
      <c r="W31" s="168" t="s">
        <v>12</v>
      </c>
      <c r="X31" s="168" t="s">
        <v>7</v>
      </c>
      <c r="Y31" s="150" t="str">
        <f t="shared" ref="Y31:Y39" si="43">IF(AND(W31="Preventivo",X31="Automático"),"50%",IF(AND(W31="Preventivo",X31="Manual"),"40%",IF(AND(W31="Detectivo",X31="Automático"),"40%",IF(AND(W31="Detectivo",X31="Manual"),"30%",IF(AND(W31="Correctivo",X31="Automático"),"35%",IF(AND(W31="Correctivo",X31="Manual"),"25%",""))))))</f>
        <v>40%</v>
      </c>
      <c r="Z31" s="169" t="s">
        <v>17</v>
      </c>
      <c r="AA31" s="170" t="s">
        <v>20</v>
      </c>
      <c r="AB31" s="171" t="s">
        <v>114</v>
      </c>
      <c r="AC31" s="145" t="s">
        <v>299</v>
      </c>
      <c r="AD31" s="164">
        <f t="shared" ref="AD31:AD44" si="44">IFERROR(IF(V31="Probabilidad",(N31-(+N31*Y31)),IF(V31="Impacto",N31,"")),"")</f>
        <v>0.12</v>
      </c>
      <c r="AE31" s="151" t="str">
        <f t="shared" ref="AE31:AE44" si="45">IFERROR(IF(AD31="","",IF(AD31&lt;=0.2,"Muy Baja",IF(AD31&lt;=0.4,"Baja",IF(AD31&lt;=0.6,"Media",IF(AD31&lt;=0.8,"Alta","Muy Alta"))))),"")</f>
        <v>Muy Baja</v>
      </c>
      <c r="AF31" s="81">
        <f t="shared" ref="AF31:AF44" si="46">+AD31</f>
        <v>0.12</v>
      </c>
      <c r="AG31" s="82" t="str">
        <f t="shared" ref="AG31:AG44" si="47">IFERROR(IF(AH31="","",IF(AH31&lt;=0.2,"Leve",IF(AH31&lt;=0.4,"Menor",IF(AH31&lt;=0.6,"Moderado",IF(AH31&lt;=0.8,"Mayor","Catastrófico"))))),"")</f>
        <v>Moderado</v>
      </c>
      <c r="AH31" s="81">
        <f t="shared" ref="AH31:AH44" si="48">IFERROR(IF(V31="Impacto",(R31-(+R31*Y31)),IF(V31="Probabilidad",R31,"")),"")</f>
        <v>0.6</v>
      </c>
      <c r="AI31" s="83" t="str">
        <f t="shared" ref="AI31:AI44" si="49">IFERROR(IF(OR(AND(AE31="Muy Baja",AG31="Leve"),AND(AE31="Muy Baja",AG31="Menor"),AND(AE31="Baja",AG31="Leve")),"Bajo",IF(OR(AND(AE31="Muy baja",AG31="Moderado"),AND(AE31="Baja",AG31="Menor"),AND(AE31="Baja",AG31="Moderado"),AND(AE31="Media",AG31="Leve"),AND(AE31="Media",AG31="Menor"),AND(AE31="Media",AG31="Moderado"),AND(AE31="Alta",AG31="Leve"),AND(AE31="Alta",AG31="Menor")),"Moderado",IF(OR(AND(AE31="Muy Baja",AG31="Mayor"),AND(AE31="Baja",AG31="Mayor"),AND(AE31="Media",AG31="Mayor"),AND(AE31="Alta",AG31="Moderado"),AND(AE31="Alta",AG31="Mayor"),AND(AE31="Muy Alta",AG31="Leve"),AND(AE31="Muy Alta",AG31="Menor"),AND(AE31="Muy Alta",AG31="Moderado"),AND(AE31="Muy Alta",AG31="Mayor")),"Alto",IF(OR(AND(AE31="Muy Baja",AG31="Catastrófico"),AND(AE31="Baja",AG31="Catastrófico"),AND(AE31="Media",AG31="Catastrófico"),AND(AE31="Alta",AG31="Catastrófico"),AND(AE31="Muy Alta",AG31="Catastrófico")),"Extremo","")))),"")</f>
        <v>Moderado</v>
      </c>
      <c r="AJ31" s="83" t="str">
        <f>$AI$31</f>
        <v>Moderado</v>
      </c>
      <c r="AK31" s="125" t="s">
        <v>30</v>
      </c>
      <c r="AL31" s="140"/>
      <c r="AM31" s="84"/>
      <c r="AN31" s="84"/>
      <c r="AO31" s="140"/>
      <c r="AP31" s="142"/>
      <c r="AQ31" s="158"/>
    </row>
    <row r="32" spans="2:43" ht="101.25" customHeight="1" x14ac:dyDescent="0.2">
      <c r="B32" s="425"/>
      <c r="C32" s="428"/>
      <c r="D32" s="143">
        <v>16</v>
      </c>
      <c r="E32" s="214" t="s">
        <v>292</v>
      </c>
      <c r="F32" s="222" t="s">
        <v>294</v>
      </c>
      <c r="G32" s="136" t="s">
        <v>578</v>
      </c>
      <c r="H32" s="143" t="s">
        <v>563</v>
      </c>
      <c r="I32" s="143" t="s">
        <v>565</v>
      </c>
      <c r="J32" s="222" t="s">
        <v>123</v>
      </c>
      <c r="K32" s="143" t="s">
        <v>624</v>
      </c>
      <c r="L32" s="221">
        <v>12</v>
      </c>
      <c r="M32" s="192" t="str">
        <f t="shared" si="39"/>
        <v>Baja</v>
      </c>
      <c r="N32" s="197">
        <f t="shared" si="40"/>
        <v>0.4</v>
      </c>
      <c r="O32" s="219" t="s">
        <v>146</v>
      </c>
      <c r="P32" s="153" t="s">
        <v>146</v>
      </c>
      <c r="Q32" s="196" t="str">
        <f>IF(OR(P32='Tabla Impacto'!$C$11,P32='Tabla Impacto'!$D$11),"Leve",IF(OR(P32='Tabla Impacto'!$C$12,P32='Tabla Impacto'!$D$12),"Menor",IF(OR(P32='Tabla Impacto'!$C$13,P32='Tabla Impacto'!$D$13),"Moderado",IF(OR(P32='Tabla Impacto'!$C$14,P32='Tabla Impacto'!$D$14),"Mayor",IF(OR(P32='Tabla Impacto'!$C$15,P32='Tabla Impacto'!$D$15),"Catastrófico","")))))</f>
        <v>Mayor</v>
      </c>
      <c r="R32" s="153">
        <f t="shared" si="41"/>
        <v>0.8</v>
      </c>
      <c r="S32" s="248" t="str">
        <f t="shared" si="42"/>
        <v>Alto</v>
      </c>
      <c r="T32" s="160">
        <v>1</v>
      </c>
      <c r="U32" s="222" t="s">
        <v>736</v>
      </c>
      <c r="V32" s="178" t="str">
        <f t="shared" si="33"/>
        <v>Probabilidad</v>
      </c>
      <c r="W32" s="168" t="s">
        <v>12</v>
      </c>
      <c r="X32" s="168" t="s">
        <v>7</v>
      </c>
      <c r="Y32" s="150" t="str">
        <f t="shared" si="43"/>
        <v>40%</v>
      </c>
      <c r="Z32" s="169" t="s">
        <v>17</v>
      </c>
      <c r="AA32" s="170" t="s">
        <v>20</v>
      </c>
      <c r="AB32" s="171" t="s">
        <v>114</v>
      </c>
      <c r="AC32" s="145" t="s">
        <v>300</v>
      </c>
      <c r="AD32" s="164">
        <f t="shared" si="44"/>
        <v>0.24</v>
      </c>
      <c r="AE32" s="151" t="str">
        <f t="shared" si="45"/>
        <v>Baja</v>
      </c>
      <c r="AF32" s="81">
        <f t="shared" si="46"/>
        <v>0.24</v>
      </c>
      <c r="AG32" s="82" t="str">
        <f t="shared" si="47"/>
        <v>Mayor</v>
      </c>
      <c r="AH32" s="81">
        <f t="shared" si="48"/>
        <v>0.8</v>
      </c>
      <c r="AI32" s="83" t="str">
        <f t="shared" si="49"/>
        <v>Alto</v>
      </c>
      <c r="AJ32" s="83" t="str">
        <f>$AI$32</f>
        <v>Alto</v>
      </c>
      <c r="AK32" s="125" t="s">
        <v>129</v>
      </c>
      <c r="AL32" s="140" t="s">
        <v>301</v>
      </c>
      <c r="AM32" s="144" t="s">
        <v>302</v>
      </c>
      <c r="AN32" s="185" t="s">
        <v>627</v>
      </c>
      <c r="AO32" s="236" t="s">
        <v>407</v>
      </c>
      <c r="AP32" s="140" t="s">
        <v>303</v>
      </c>
      <c r="AQ32" s="142" t="s">
        <v>38</v>
      </c>
    </row>
    <row r="33" spans="2:43" ht="180" customHeight="1" x14ac:dyDescent="0.2">
      <c r="B33" s="425" t="s">
        <v>304</v>
      </c>
      <c r="C33" s="428" t="s">
        <v>304</v>
      </c>
      <c r="D33" s="143">
        <v>17</v>
      </c>
      <c r="E33" s="211" t="s">
        <v>682</v>
      </c>
      <c r="F33" s="199" t="s">
        <v>710</v>
      </c>
      <c r="G33" s="136" t="s">
        <v>579</v>
      </c>
      <c r="H33" s="143" t="s">
        <v>563</v>
      </c>
      <c r="I33" s="143" t="s">
        <v>565</v>
      </c>
      <c r="J33" s="154" t="s">
        <v>123</v>
      </c>
      <c r="K33" s="143" t="s">
        <v>624</v>
      </c>
      <c r="L33" s="155">
        <f>800*2</f>
        <v>1600</v>
      </c>
      <c r="M33" s="192" t="str">
        <f t="shared" si="39"/>
        <v>Alta</v>
      </c>
      <c r="N33" s="189">
        <f t="shared" si="40"/>
        <v>0.8</v>
      </c>
      <c r="O33" s="156" t="s">
        <v>147</v>
      </c>
      <c r="P33" s="153" t="s">
        <v>147</v>
      </c>
      <c r="Q33" s="196" t="str">
        <f>IF(OR(P33='Tabla Impacto'!$C$11,P33='Tabla Impacto'!$D$11),"Leve",IF(OR(P33='Tabla Impacto'!$C$12,P33='Tabla Impacto'!$D$12),"Menor",IF(OR(P33='Tabla Impacto'!$C$13,P33='Tabla Impacto'!$D$13),"Moderado",IF(OR(P33='Tabla Impacto'!$C$14,P33='Tabla Impacto'!$D$14),"Mayor",IF(OR(P33='Tabla Impacto'!$C$15,P33='Tabla Impacto'!$D$15),"Catastrófico","")))))</f>
        <v>Catastrófico</v>
      </c>
      <c r="R33" s="189">
        <f t="shared" si="41"/>
        <v>1</v>
      </c>
      <c r="S33" s="247" t="str">
        <f t="shared" si="42"/>
        <v>Extremo</v>
      </c>
      <c r="T33" s="141">
        <v>1</v>
      </c>
      <c r="U33" s="144" t="s">
        <v>711</v>
      </c>
      <c r="V33" s="146" t="str">
        <f t="shared" si="33"/>
        <v>Probabilidad</v>
      </c>
      <c r="W33" s="147" t="s">
        <v>12</v>
      </c>
      <c r="X33" s="147" t="s">
        <v>7</v>
      </c>
      <c r="Y33" s="148" t="str">
        <f t="shared" si="43"/>
        <v>40%</v>
      </c>
      <c r="Z33" s="161" t="s">
        <v>17</v>
      </c>
      <c r="AA33" s="162" t="s">
        <v>20</v>
      </c>
      <c r="AB33" s="163" t="s">
        <v>114</v>
      </c>
      <c r="AC33" s="145" t="s">
        <v>308</v>
      </c>
      <c r="AD33" s="164">
        <f t="shared" si="44"/>
        <v>0.48</v>
      </c>
      <c r="AE33" s="165" t="str">
        <f t="shared" si="45"/>
        <v>Media</v>
      </c>
      <c r="AF33" s="148">
        <f t="shared" si="46"/>
        <v>0.48</v>
      </c>
      <c r="AG33" s="166" t="str">
        <f t="shared" si="47"/>
        <v>Catastrófico</v>
      </c>
      <c r="AH33" s="148">
        <f t="shared" si="48"/>
        <v>1</v>
      </c>
      <c r="AI33" s="167" t="str">
        <f t="shared" si="49"/>
        <v>Extremo</v>
      </c>
      <c r="AJ33" s="167" t="str">
        <f>$AI$33</f>
        <v>Extremo</v>
      </c>
      <c r="AK33" s="125" t="s">
        <v>129</v>
      </c>
      <c r="AL33" s="136" t="s">
        <v>648</v>
      </c>
      <c r="AM33" s="136" t="s">
        <v>631</v>
      </c>
      <c r="AN33" s="185" t="s">
        <v>627</v>
      </c>
      <c r="AO33" s="236" t="s">
        <v>407</v>
      </c>
      <c r="AP33" s="136" t="s">
        <v>632</v>
      </c>
      <c r="AQ33" s="142" t="s">
        <v>38</v>
      </c>
    </row>
    <row r="34" spans="2:43" ht="114.75" x14ac:dyDescent="0.2">
      <c r="B34" s="425"/>
      <c r="C34" s="428"/>
      <c r="D34" s="143">
        <v>18</v>
      </c>
      <c r="E34" s="339" t="s">
        <v>305</v>
      </c>
      <c r="F34" s="199" t="s">
        <v>737</v>
      </c>
      <c r="G34" s="136" t="s">
        <v>580</v>
      </c>
      <c r="H34" s="143" t="s">
        <v>563</v>
      </c>
      <c r="I34" s="143" t="s">
        <v>565</v>
      </c>
      <c r="J34" s="199" t="s">
        <v>118</v>
      </c>
      <c r="K34" s="143" t="s">
        <v>624</v>
      </c>
      <c r="L34" s="198">
        <f>52*5</f>
        <v>260</v>
      </c>
      <c r="M34" s="192" t="str">
        <f t="shared" si="39"/>
        <v>Media</v>
      </c>
      <c r="N34" s="190">
        <f t="shared" si="40"/>
        <v>0.6</v>
      </c>
      <c r="O34" s="223" t="s">
        <v>146</v>
      </c>
      <c r="P34" s="153" t="s">
        <v>146</v>
      </c>
      <c r="Q34" s="196" t="str">
        <f>IF(OR(P34='Tabla Impacto'!$C$11,P34='Tabla Impacto'!$D$11),"Leve",IF(OR(P34='Tabla Impacto'!$C$12,P34='Tabla Impacto'!$D$12),"Menor",IF(OR(P34='Tabla Impacto'!$C$13,P34='Tabla Impacto'!$D$13),"Moderado",IF(OR(P34='Tabla Impacto'!$C$14,P34='Tabla Impacto'!$D$14),"Mayor",IF(OR(P34='Tabla Impacto'!$C$15,P34='Tabla Impacto'!$D$15),"Catastrófico","")))))</f>
        <v>Mayor</v>
      </c>
      <c r="R34" s="190">
        <f t="shared" si="41"/>
        <v>0.8</v>
      </c>
      <c r="S34" s="252" t="str">
        <f t="shared" si="42"/>
        <v>Alto</v>
      </c>
      <c r="T34" s="143">
        <v>1</v>
      </c>
      <c r="U34" s="144" t="s">
        <v>712</v>
      </c>
      <c r="V34" s="149" t="str">
        <f t="shared" si="33"/>
        <v>Probabilidad</v>
      </c>
      <c r="W34" s="168" t="s">
        <v>12</v>
      </c>
      <c r="X34" s="168" t="s">
        <v>7</v>
      </c>
      <c r="Y34" s="150" t="str">
        <f t="shared" si="43"/>
        <v>40%</v>
      </c>
      <c r="Z34" s="169" t="s">
        <v>17</v>
      </c>
      <c r="AA34" s="170" t="s">
        <v>20</v>
      </c>
      <c r="AB34" s="171" t="s">
        <v>114</v>
      </c>
      <c r="AC34" s="145" t="s">
        <v>309</v>
      </c>
      <c r="AD34" s="164">
        <f t="shared" si="44"/>
        <v>0.36</v>
      </c>
      <c r="AE34" s="151" t="str">
        <f t="shared" si="45"/>
        <v>Baja</v>
      </c>
      <c r="AF34" s="81">
        <f t="shared" si="46"/>
        <v>0.36</v>
      </c>
      <c r="AG34" s="82" t="str">
        <f t="shared" si="47"/>
        <v>Mayor</v>
      </c>
      <c r="AH34" s="81">
        <f t="shared" si="48"/>
        <v>0.8</v>
      </c>
      <c r="AI34" s="83" t="str">
        <f t="shared" si="49"/>
        <v>Alto</v>
      </c>
      <c r="AJ34" s="83" t="str">
        <f>$AI$34</f>
        <v>Alto</v>
      </c>
      <c r="AK34" s="125" t="s">
        <v>129</v>
      </c>
      <c r="AL34" s="136" t="s">
        <v>633</v>
      </c>
      <c r="AM34" s="136" t="s">
        <v>631</v>
      </c>
      <c r="AN34" s="185" t="s">
        <v>627</v>
      </c>
      <c r="AO34" s="236" t="s">
        <v>407</v>
      </c>
      <c r="AP34" s="145" t="s">
        <v>309</v>
      </c>
      <c r="AQ34" s="142" t="s">
        <v>38</v>
      </c>
    </row>
    <row r="35" spans="2:43" ht="151.5" customHeight="1" x14ac:dyDescent="0.2">
      <c r="B35" s="425"/>
      <c r="C35" s="428"/>
      <c r="D35" s="143">
        <v>19</v>
      </c>
      <c r="E35" s="214" t="s">
        <v>306</v>
      </c>
      <c r="F35" s="224" t="s">
        <v>738</v>
      </c>
      <c r="G35" s="136" t="s">
        <v>581</v>
      </c>
      <c r="H35" s="143" t="s">
        <v>563</v>
      </c>
      <c r="I35" s="143" t="s">
        <v>565</v>
      </c>
      <c r="J35" s="222" t="s">
        <v>118</v>
      </c>
      <c r="K35" s="143" t="s">
        <v>624</v>
      </c>
      <c r="L35" s="221">
        <v>550</v>
      </c>
      <c r="M35" s="192" t="str">
        <f t="shared" si="39"/>
        <v>Alta</v>
      </c>
      <c r="N35" s="197">
        <f t="shared" si="40"/>
        <v>0.8</v>
      </c>
      <c r="O35" s="219" t="s">
        <v>146</v>
      </c>
      <c r="P35" s="153" t="s">
        <v>146</v>
      </c>
      <c r="Q35" s="196" t="str">
        <f>IF(OR(P35='Tabla Impacto'!$C$11,P35='Tabla Impacto'!$D$11),"Leve",IF(OR(P35='Tabla Impacto'!$C$12,P35='Tabla Impacto'!$D$12),"Menor",IF(OR(P35='Tabla Impacto'!$C$13,P35='Tabla Impacto'!$D$13),"Moderado",IF(OR(P35='Tabla Impacto'!$C$14,P35='Tabla Impacto'!$D$14),"Mayor",IF(OR(P35='Tabla Impacto'!$C$15,P35='Tabla Impacto'!$D$15),"Catastrófico","")))))</f>
        <v>Mayor</v>
      </c>
      <c r="R35" s="153">
        <f t="shared" si="41"/>
        <v>0.8</v>
      </c>
      <c r="S35" s="248" t="str">
        <f t="shared" si="42"/>
        <v>Alto</v>
      </c>
      <c r="T35" s="160">
        <v>1</v>
      </c>
      <c r="U35" s="222" t="s">
        <v>739</v>
      </c>
      <c r="V35" s="178" t="str">
        <f t="shared" si="33"/>
        <v>Probabilidad</v>
      </c>
      <c r="W35" s="168" t="s">
        <v>12</v>
      </c>
      <c r="X35" s="168" t="s">
        <v>7</v>
      </c>
      <c r="Y35" s="150" t="str">
        <f t="shared" si="43"/>
        <v>40%</v>
      </c>
      <c r="Z35" s="169" t="s">
        <v>17</v>
      </c>
      <c r="AA35" s="170" t="s">
        <v>20</v>
      </c>
      <c r="AB35" s="171" t="s">
        <v>114</v>
      </c>
      <c r="AC35" s="145" t="s">
        <v>310</v>
      </c>
      <c r="AD35" s="164">
        <f t="shared" si="44"/>
        <v>0.48</v>
      </c>
      <c r="AE35" s="151" t="str">
        <f t="shared" si="45"/>
        <v>Media</v>
      </c>
      <c r="AF35" s="81">
        <f t="shared" si="46"/>
        <v>0.48</v>
      </c>
      <c r="AG35" s="82" t="str">
        <f t="shared" si="47"/>
        <v>Mayor</v>
      </c>
      <c r="AH35" s="81">
        <f t="shared" si="48"/>
        <v>0.8</v>
      </c>
      <c r="AI35" s="83" t="str">
        <f t="shared" si="49"/>
        <v>Alto</v>
      </c>
      <c r="AJ35" s="83" t="str">
        <f>$AI$35</f>
        <v>Alto</v>
      </c>
      <c r="AK35" s="125" t="s">
        <v>129</v>
      </c>
      <c r="AL35" s="136" t="s">
        <v>649</v>
      </c>
      <c r="AM35" s="136" t="s">
        <v>634</v>
      </c>
      <c r="AN35" s="185" t="s">
        <v>627</v>
      </c>
      <c r="AO35" s="236" t="s">
        <v>407</v>
      </c>
      <c r="AP35" s="145" t="s">
        <v>310</v>
      </c>
      <c r="AQ35" s="142" t="s">
        <v>38</v>
      </c>
    </row>
    <row r="36" spans="2:43" ht="99.75" customHeight="1" x14ac:dyDescent="0.2">
      <c r="B36" s="425"/>
      <c r="C36" s="428"/>
      <c r="D36" s="143">
        <v>20</v>
      </c>
      <c r="E36" s="340" t="s">
        <v>307</v>
      </c>
      <c r="F36" s="140" t="s">
        <v>740</v>
      </c>
      <c r="G36" s="136" t="s">
        <v>582</v>
      </c>
      <c r="H36" s="143" t="s">
        <v>563</v>
      </c>
      <c r="I36" s="143" t="s">
        <v>565</v>
      </c>
      <c r="J36" s="222" t="s">
        <v>118</v>
      </c>
      <c r="K36" s="143" t="s">
        <v>624</v>
      </c>
      <c r="L36" s="217">
        <v>550</v>
      </c>
      <c r="M36" s="225" t="str">
        <f t="shared" si="39"/>
        <v>Alta</v>
      </c>
      <c r="N36" s="153">
        <f t="shared" si="40"/>
        <v>0.8</v>
      </c>
      <c r="O36" s="219" t="s">
        <v>144</v>
      </c>
      <c r="P36" s="153" t="s">
        <v>144</v>
      </c>
      <c r="Q36" s="196" t="str">
        <f>IF(OR(P36='Tabla Impacto'!$C$11,P36='Tabla Impacto'!$D$11),"Leve",IF(OR(P36='Tabla Impacto'!$C$12,P36='Tabla Impacto'!$D$12),"Menor",IF(OR(P36='Tabla Impacto'!$C$13,P36='Tabla Impacto'!$D$13),"Moderado",IF(OR(P36='Tabla Impacto'!$C$14,P36='Tabla Impacto'!$D$14),"Mayor",IF(OR(P36='Tabla Impacto'!$C$15,P36='Tabla Impacto'!$D$15),"Catastrófico","")))))</f>
        <v>Menor</v>
      </c>
      <c r="R36" s="153">
        <f t="shared" si="41"/>
        <v>0.4</v>
      </c>
      <c r="S36" s="248" t="str">
        <f t="shared" si="42"/>
        <v>Moderado</v>
      </c>
      <c r="T36" s="160">
        <v>1</v>
      </c>
      <c r="U36" s="222" t="s">
        <v>650</v>
      </c>
      <c r="V36" s="178" t="str">
        <f t="shared" si="33"/>
        <v>Probabilidad</v>
      </c>
      <c r="W36" s="168" t="s">
        <v>12</v>
      </c>
      <c r="X36" s="168" t="s">
        <v>7</v>
      </c>
      <c r="Y36" s="150" t="str">
        <f t="shared" si="43"/>
        <v>40%</v>
      </c>
      <c r="Z36" s="169" t="s">
        <v>17</v>
      </c>
      <c r="AA36" s="170" t="s">
        <v>20</v>
      </c>
      <c r="AB36" s="171" t="s">
        <v>114</v>
      </c>
      <c r="AC36" s="145" t="s">
        <v>311</v>
      </c>
      <c r="AD36" s="164">
        <f t="shared" si="44"/>
        <v>0.48</v>
      </c>
      <c r="AE36" s="151" t="str">
        <f t="shared" si="45"/>
        <v>Media</v>
      </c>
      <c r="AF36" s="81">
        <f t="shared" si="46"/>
        <v>0.48</v>
      </c>
      <c r="AG36" s="82" t="str">
        <f t="shared" si="47"/>
        <v>Menor</v>
      </c>
      <c r="AH36" s="81">
        <f t="shared" si="48"/>
        <v>0.4</v>
      </c>
      <c r="AI36" s="83" t="str">
        <f t="shared" si="49"/>
        <v>Moderado</v>
      </c>
      <c r="AJ36" s="83" t="str">
        <f>$AI$36</f>
        <v>Moderado</v>
      </c>
      <c r="AK36" s="125" t="s">
        <v>30</v>
      </c>
      <c r="AL36" s="158"/>
      <c r="AM36" s="158"/>
      <c r="AN36" s="158"/>
      <c r="AO36" s="158"/>
      <c r="AP36" s="158"/>
      <c r="AQ36" s="158"/>
    </row>
    <row r="37" spans="2:43" ht="137.25" customHeight="1" x14ac:dyDescent="0.2">
      <c r="B37" s="425" t="s">
        <v>312</v>
      </c>
      <c r="C37" s="213" t="s">
        <v>313</v>
      </c>
      <c r="D37" s="143">
        <v>21</v>
      </c>
      <c r="E37" s="211" t="s">
        <v>741</v>
      </c>
      <c r="F37" s="203" t="s">
        <v>742</v>
      </c>
      <c r="G37" s="136" t="s">
        <v>583</v>
      </c>
      <c r="H37" s="143" t="s">
        <v>563</v>
      </c>
      <c r="I37" s="143" t="s">
        <v>684</v>
      </c>
      <c r="J37" s="203" t="s">
        <v>118</v>
      </c>
      <c r="K37" s="143" t="s">
        <v>624</v>
      </c>
      <c r="L37" s="228">
        <v>6000</v>
      </c>
      <c r="M37" s="192" t="str">
        <f t="shared" si="39"/>
        <v>Muy Alta</v>
      </c>
      <c r="N37" s="189">
        <f t="shared" si="40"/>
        <v>1</v>
      </c>
      <c r="O37" s="219" t="s">
        <v>146</v>
      </c>
      <c r="P37" s="153" t="s">
        <v>146</v>
      </c>
      <c r="Q37" s="196" t="str">
        <f>IF(OR(P37='Tabla Impacto'!$C$11,P37='Tabla Impacto'!$D$11),"Leve",IF(OR(P37='Tabla Impacto'!$C$12,P37='Tabla Impacto'!$D$12),"Menor",IF(OR(P37='Tabla Impacto'!$C$13,P37='Tabla Impacto'!$D$13),"Moderado",IF(OR(P37='Tabla Impacto'!$C$14,P37='Tabla Impacto'!$D$14),"Mayor",IF(OR(P37='Tabla Impacto'!$C$15,P37='Tabla Impacto'!$D$15),"Catastrófico","")))))</f>
        <v>Mayor</v>
      </c>
      <c r="R37" s="189">
        <f t="shared" si="41"/>
        <v>0.8</v>
      </c>
      <c r="S37" s="247" t="str">
        <f t="shared" si="42"/>
        <v>Alto</v>
      </c>
      <c r="T37" s="141">
        <v>1</v>
      </c>
      <c r="U37" s="144" t="s">
        <v>337</v>
      </c>
      <c r="V37" s="146" t="str">
        <f>IF(OR(W37="Preventivo",W37="Detectivo"),"Probabilidad",IF(W37="Correctivo","Impacto",""))</f>
        <v>Probabilidad</v>
      </c>
      <c r="W37" s="147" t="s">
        <v>12</v>
      </c>
      <c r="X37" s="147" t="s">
        <v>7</v>
      </c>
      <c r="Y37" s="148" t="str">
        <f t="shared" si="43"/>
        <v>40%</v>
      </c>
      <c r="Z37" s="161" t="s">
        <v>17</v>
      </c>
      <c r="AA37" s="162" t="s">
        <v>20</v>
      </c>
      <c r="AB37" s="163" t="s">
        <v>114</v>
      </c>
      <c r="AC37" s="145" t="s">
        <v>338</v>
      </c>
      <c r="AD37" s="164">
        <f t="shared" si="44"/>
        <v>0.6</v>
      </c>
      <c r="AE37" s="165" t="str">
        <f t="shared" si="45"/>
        <v>Media</v>
      </c>
      <c r="AF37" s="148">
        <f t="shared" si="46"/>
        <v>0.6</v>
      </c>
      <c r="AG37" s="166" t="str">
        <f t="shared" si="47"/>
        <v>Mayor</v>
      </c>
      <c r="AH37" s="148">
        <f t="shared" si="48"/>
        <v>0.8</v>
      </c>
      <c r="AI37" s="167" t="str">
        <f t="shared" si="49"/>
        <v>Alto</v>
      </c>
      <c r="AJ37" s="167" t="str">
        <f>$AI$37</f>
        <v>Alto</v>
      </c>
      <c r="AK37" s="125" t="s">
        <v>129</v>
      </c>
      <c r="AL37" s="136" t="s">
        <v>635</v>
      </c>
      <c r="AM37" s="136" t="s">
        <v>636</v>
      </c>
      <c r="AN37" s="185" t="s">
        <v>627</v>
      </c>
      <c r="AO37" s="236" t="s">
        <v>407</v>
      </c>
      <c r="AP37" s="145" t="s">
        <v>338</v>
      </c>
      <c r="AQ37" s="142" t="s">
        <v>38</v>
      </c>
    </row>
    <row r="38" spans="2:43" ht="127.5" x14ac:dyDescent="0.2">
      <c r="B38" s="425"/>
      <c r="C38" s="213" t="s">
        <v>313</v>
      </c>
      <c r="D38" s="143">
        <v>22</v>
      </c>
      <c r="E38" s="339" t="s">
        <v>743</v>
      </c>
      <c r="F38" s="204" t="s">
        <v>744</v>
      </c>
      <c r="G38" s="136" t="s">
        <v>584</v>
      </c>
      <c r="H38" s="143" t="s">
        <v>563</v>
      </c>
      <c r="I38" s="143" t="s">
        <v>565</v>
      </c>
      <c r="J38" s="204" t="s">
        <v>118</v>
      </c>
      <c r="K38" s="143" t="s">
        <v>624</v>
      </c>
      <c r="L38" s="229">
        <v>5000</v>
      </c>
      <c r="M38" s="192" t="str">
        <f t="shared" si="39"/>
        <v>Alta</v>
      </c>
      <c r="N38" s="193">
        <f t="shared" si="40"/>
        <v>0.8</v>
      </c>
      <c r="O38" s="223" t="s">
        <v>143</v>
      </c>
      <c r="P38" s="193" t="s">
        <v>143</v>
      </c>
      <c r="Q38" s="196" t="str">
        <f>IF(OR(P38='Tabla Impacto'!$C$11,P38='Tabla Impacto'!$D$11),"Leve",IF(OR(P38='Tabla Impacto'!$C$12,P38='Tabla Impacto'!$D$12),"Menor",IF(OR(P38='Tabla Impacto'!$C$13,P38='Tabla Impacto'!$D$13),"Moderado",IF(OR(P38='Tabla Impacto'!$C$14,P38='Tabla Impacto'!$D$14),"Mayor",IF(OR(P38='Tabla Impacto'!$C$15,P38='Tabla Impacto'!$D$15),"Catastrófico","")))))</f>
        <v>Leve</v>
      </c>
      <c r="R38" s="193">
        <f t="shared" si="41"/>
        <v>0.2</v>
      </c>
      <c r="S38" s="245" t="str">
        <f t="shared" si="42"/>
        <v>Moderado</v>
      </c>
      <c r="T38" s="143">
        <v>1</v>
      </c>
      <c r="U38" s="140" t="s">
        <v>339</v>
      </c>
      <c r="V38" s="146" t="str">
        <f>IF(OR(W38="Preventivo",W38="Detectivo"),"Probabilidad",IF(W38="Correctivo","Impacto",""))</f>
        <v>Probabilidad</v>
      </c>
      <c r="W38" s="168" t="s">
        <v>12</v>
      </c>
      <c r="X38" s="168" t="s">
        <v>7</v>
      </c>
      <c r="Y38" s="148" t="str">
        <f t="shared" si="43"/>
        <v>40%</v>
      </c>
      <c r="Z38" s="169" t="s">
        <v>17</v>
      </c>
      <c r="AA38" s="170" t="s">
        <v>20</v>
      </c>
      <c r="AB38" s="171" t="s">
        <v>114</v>
      </c>
      <c r="AC38" s="184" t="s">
        <v>340</v>
      </c>
      <c r="AD38" s="164">
        <f t="shared" si="44"/>
        <v>0.48</v>
      </c>
      <c r="AE38" s="165" t="str">
        <f t="shared" si="45"/>
        <v>Media</v>
      </c>
      <c r="AF38" s="148">
        <f t="shared" si="46"/>
        <v>0.48</v>
      </c>
      <c r="AG38" s="166" t="str">
        <f t="shared" si="47"/>
        <v>Leve</v>
      </c>
      <c r="AH38" s="148">
        <f t="shared" si="48"/>
        <v>0.2</v>
      </c>
      <c r="AI38" s="167" t="str">
        <f t="shared" si="49"/>
        <v>Moderado</v>
      </c>
      <c r="AJ38" s="167" t="str">
        <f>$AI$38</f>
        <v>Moderado</v>
      </c>
      <c r="AK38" s="125" t="s">
        <v>30</v>
      </c>
      <c r="AL38" s="140"/>
      <c r="AM38" s="144"/>
      <c r="AN38" s="181"/>
      <c r="AO38" s="181"/>
      <c r="AP38" s="140"/>
      <c r="AQ38" s="142"/>
    </row>
    <row r="39" spans="2:43" ht="108" customHeight="1" x14ac:dyDescent="0.2">
      <c r="B39" s="425"/>
      <c r="C39" s="213" t="s">
        <v>313</v>
      </c>
      <c r="D39" s="143">
        <v>23</v>
      </c>
      <c r="E39" s="214" t="s">
        <v>745</v>
      </c>
      <c r="F39" s="200" t="s">
        <v>327</v>
      </c>
      <c r="G39" s="136" t="s">
        <v>585</v>
      </c>
      <c r="H39" s="143" t="s">
        <v>563</v>
      </c>
      <c r="I39" s="143" t="s">
        <v>684</v>
      </c>
      <c r="J39" s="200" t="s">
        <v>118</v>
      </c>
      <c r="K39" s="143" t="s">
        <v>624</v>
      </c>
      <c r="L39" s="227">
        <v>5000</v>
      </c>
      <c r="M39" s="188" t="str">
        <f t="shared" si="39"/>
        <v>Alta</v>
      </c>
      <c r="N39" s="189">
        <f t="shared" si="40"/>
        <v>0.8</v>
      </c>
      <c r="O39" s="219" t="s">
        <v>142</v>
      </c>
      <c r="P39" s="237" t="s">
        <v>142</v>
      </c>
      <c r="Q39" s="192" t="str">
        <f>IF(OR(P39='Tabla Impacto'!$C$11,P39='Tabla Impacto'!$D$11),"Leve",IF(OR(P39='Tabla Impacto'!$C$12,P39='Tabla Impacto'!$D$12),"Menor",IF(OR(P39='Tabla Impacto'!$C$13,P39='Tabla Impacto'!$D$13),"Moderado",IF(OR(P39='Tabla Impacto'!$C$14,P39='Tabla Impacto'!$D$14),"Mayor",IF(OR(P39='Tabla Impacto'!$C$15,P39='Tabla Impacto'!$D$15),"Catastrófico","")))))</f>
        <v>Catastrófico</v>
      </c>
      <c r="R39" s="189">
        <f t="shared" si="41"/>
        <v>1</v>
      </c>
      <c r="S39" s="247" t="str">
        <f t="shared" si="42"/>
        <v>Extremo</v>
      </c>
      <c r="T39" s="143">
        <v>1</v>
      </c>
      <c r="U39" s="222" t="s">
        <v>341</v>
      </c>
      <c r="V39" s="149" t="str">
        <f t="shared" ref="V39:V46" si="50">IF(OR(W39="Preventivo",W39="Detectivo"),"Probabilidad",IF(W39="Correctivo","Impacto",""))</f>
        <v>Probabilidad</v>
      </c>
      <c r="W39" s="168" t="s">
        <v>12</v>
      </c>
      <c r="X39" s="168" t="s">
        <v>7</v>
      </c>
      <c r="Y39" s="150" t="str">
        <f t="shared" si="43"/>
        <v>40%</v>
      </c>
      <c r="Z39" s="169" t="s">
        <v>17</v>
      </c>
      <c r="AA39" s="170" t="s">
        <v>20</v>
      </c>
      <c r="AB39" s="171" t="s">
        <v>114</v>
      </c>
      <c r="AC39" s="145" t="s">
        <v>342</v>
      </c>
      <c r="AD39" s="164">
        <f t="shared" si="44"/>
        <v>0.48</v>
      </c>
      <c r="AE39" s="151" t="str">
        <f t="shared" si="45"/>
        <v>Media</v>
      </c>
      <c r="AF39" s="81">
        <f t="shared" si="46"/>
        <v>0.48</v>
      </c>
      <c r="AG39" s="82" t="str">
        <f t="shared" si="47"/>
        <v>Catastrófico</v>
      </c>
      <c r="AH39" s="81">
        <f t="shared" si="48"/>
        <v>1</v>
      </c>
      <c r="AI39" s="83" t="str">
        <f t="shared" si="49"/>
        <v>Extremo</v>
      </c>
      <c r="AJ39" s="83" t="str">
        <f>$AI$39</f>
        <v>Extremo</v>
      </c>
      <c r="AK39" s="125" t="s">
        <v>129</v>
      </c>
      <c r="AL39" s="140" t="s">
        <v>343</v>
      </c>
      <c r="AM39" s="144" t="s">
        <v>344</v>
      </c>
      <c r="AN39" s="185" t="s">
        <v>627</v>
      </c>
      <c r="AO39" s="236" t="s">
        <v>407</v>
      </c>
      <c r="AP39" s="140" t="s">
        <v>345</v>
      </c>
      <c r="AQ39" s="142" t="s">
        <v>38</v>
      </c>
    </row>
    <row r="40" spans="2:43" ht="105" customHeight="1" x14ac:dyDescent="0.2">
      <c r="B40" s="425"/>
      <c r="C40" s="213" t="s">
        <v>313</v>
      </c>
      <c r="D40" s="143">
        <v>24</v>
      </c>
      <c r="E40" s="341" t="s">
        <v>746</v>
      </c>
      <c r="F40" s="262" t="s">
        <v>747</v>
      </c>
      <c r="G40" s="202" t="s">
        <v>586</v>
      </c>
      <c r="H40" s="220" t="s">
        <v>563</v>
      </c>
      <c r="I40" s="143" t="s">
        <v>684</v>
      </c>
      <c r="J40" s="262" t="s">
        <v>118</v>
      </c>
      <c r="K40" s="220" t="s">
        <v>624</v>
      </c>
      <c r="L40" s="256">
        <v>24</v>
      </c>
      <c r="M40" s="215" t="str">
        <f t="shared" si="39"/>
        <v>Baja</v>
      </c>
      <c r="N40" s="218">
        <f t="shared" si="40"/>
        <v>0.4</v>
      </c>
      <c r="O40" s="260" t="s">
        <v>146</v>
      </c>
      <c r="P40" s="292" t="s">
        <v>146</v>
      </c>
      <c r="Q40" s="215" t="str">
        <f>IF(OR(P40='Tabla Impacto'!$C$11,P40='Tabla Impacto'!$D$11),"Leve",IF(OR(P40='Tabla Impacto'!$C$12,P40='Tabla Impacto'!$D$12),"Menor",IF(OR(P40='Tabla Impacto'!$C$13,P40='Tabla Impacto'!$D$13),"Moderado",IF(OR(P40='Tabla Impacto'!$C$14,P40='Tabla Impacto'!$D$14),"Mayor",IF(OR(P40='Tabla Impacto'!$C$15,P40='Tabla Impacto'!$D$15),"Catastrófico","")))))</f>
        <v>Mayor</v>
      </c>
      <c r="R40" s="218">
        <f t="shared" si="41"/>
        <v>0.8</v>
      </c>
      <c r="S40" s="264" t="str">
        <f t="shared" si="42"/>
        <v>Alto</v>
      </c>
      <c r="T40" s="220">
        <v>1</v>
      </c>
      <c r="U40" s="224" t="s">
        <v>346</v>
      </c>
      <c r="V40" s="266" t="str">
        <f t="shared" si="50"/>
        <v>Probabilidad</v>
      </c>
      <c r="W40" s="251" t="s">
        <v>13</v>
      </c>
      <c r="X40" s="251" t="s">
        <v>7</v>
      </c>
      <c r="Y40" s="267" t="str">
        <f t="shared" ref="Y40" si="51">IF(AND(W40="Preventivo",X40="Automático"),"50%",IF(AND(W40="Preventivo",X40="Manual"),"40%",IF(AND(W40="Detectivo",X40="Automático"),"40%",IF(AND(W40="Detectivo",X40="Manual"),"30%",IF(AND(W40="Correctivo",X40="Automático"),"35%",IF(AND(W40="Correctivo",X40="Manual"),"25%",""))))))</f>
        <v>30%</v>
      </c>
      <c r="Z40" s="268" t="s">
        <v>17</v>
      </c>
      <c r="AA40" s="269" t="s">
        <v>20</v>
      </c>
      <c r="AB40" s="270" t="s">
        <v>114</v>
      </c>
      <c r="AC40" s="172" t="s">
        <v>347</v>
      </c>
      <c r="AD40" s="173">
        <f t="shared" si="44"/>
        <v>0.28000000000000003</v>
      </c>
      <c r="AE40" s="174" t="str">
        <f t="shared" si="45"/>
        <v>Baja</v>
      </c>
      <c r="AF40" s="175">
        <f t="shared" si="46"/>
        <v>0.28000000000000003</v>
      </c>
      <c r="AG40" s="176" t="str">
        <f t="shared" si="47"/>
        <v>Mayor</v>
      </c>
      <c r="AH40" s="175">
        <f t="shared" si="48"/>
        <v>0.8</v>
      </c>
      <c r="AI40" s="244" t="str">
        <f t="shared" si="49"/>
        <v>Alto</v>
      </c>
      <c r="AJ40" s="83" t="str">
        <f>$AI$40</f>
        <v>Alto</v>
      </c>
      <c r="AK40" s="125" t="s">
        <v>129</v>
      </c>
      <c r="AL40" s="140" t="s">
        <v>348</v>
      </c>
      <c r="AM40" s="144" t="s">
        <v>349</v>
      </c>
      <c r="AN40" s="185" t="s">
        <v>627</v>
      </c>
      <c r="AO40" s="236" t="s">
        <v>407</v>
      </c>
      <c r="AP40" s="140" t="s">
        <v>350</v>
      </c>
      <c r="AQ40" s="142" t="s">
        <v>38</v>
      </c>
    </row>
    <row r="41" spans="2:43" ht="199.5" customHeight="1" x14ac:dyDescent="0.2">
      <c r="B41" s="425"/>
      <c r="C41" s="231" t="s">
        <v>314</v>
      </c>
      <c r="D41" s="143">
        <v>25</v>
      </c>
      <c r="E41" s="212" t="s">
        <v>318</v>
      </c>
      <c r="F41" s="140" t="s">
        <v>328</v>
      </c>
      <c r="G41" s="136" t="s">
        <v>587</v>
      </c>
      <c r="H41" s="143" t="s">
        <v>563</v>
      </c>
      <c r="I41" s="143" t="s">
        <v>686</v>
      </c>
      <c r="J41" s="140" t="s">
        <v>118</v>
      </c>
      <c r="K41" s="143" t="s">
        <v>624</v>
      </c>
      <c r="L41" s="142">
        <f>10*365</f>
        <v>3650</v>
      </c>
      <c r="M41" s="192" t="str">
        <f t="shared" si="39"/>
        <v>Alta</v>
      </c>
      <c r="N41" s="193">
        <f t="shared" si="40"/>
        <v>0.8</v>
      </c>
      <c r="O41" s="194" t="s">
        <v>142</v>
      </c>
      <c r="P41" s="193" t="s">
        <v>142</v>
      </c>
      <c r="Q41" s="192" t="str">
        <f>IF(OR(P41='Tabla Impacto'!$C$11,P41='Tabla Impacto'!$D$11),"Leve",IF(OR(P41='Tabla Impacto'!$C$12,P41='Tabla Impacto'!$D$12),"Menor",IF(OR(P41='Tabla Impacto'!$C$13,P41='Tabla Impacto'!$D$13),"Moderado",IF(OR(P41='Tabla Impacto'!$C$14,P41='Tabla Impacto'!$D$14),"Mayor",IF(OR(P41='Tabla Impacto'!$C$15,P41='Tabla Impacto'!$D$15),"Catastrófico","")))))</f>
        <v>Catastrófico</v>
      </c>
      <c r="R41" s="193">
        <f t="shared" si="41"/>
        <v>1</v>
      </c>
      <c r="S41" s="245" t="str">
        <f t="shared" si="42"/>
        <v>Extremo</v>
      </c>
      <c r="T41" s="143">
        <v>1</v>
      </c>
      <c r="U41" s="136" t="s">
        <v>351</v>
      </c>
      <c r="V41" s="124" t="str">
        <f t="shared" si="50"/>
        <v>Probabilidad</v>
      </c>
      <c r="W41" s="125" t="s">
        <v>12</v>
      </c>
      <c r="X41" s="125" t="s">
        <v>7</v>
      </c>
      <c r="Y41" s="81" t="str">
        <f t="shared" ref="Y41" si="52">IF(AND(W41="Preventivo",X41="Automático"),"50%",IF(AND(W41="Preventivo",X41="Manual"),"40%",IF(AND(W41="Detectivo",X41="Automático"),"40%",IF(AND(W41="Detectivo",X41="Manual"),"30%",IF(AND(W41="Correctivo",X41="Automático"),"35%",IF(AND(W41="Correctivo",X41="Manual"),"25%",""))))))</f>
        <v>40%</v>
      </c>
      <c r="Z41" s="125" t="s">
        <v>17</v>
      </c>
      <c r="AA41" s="125" t="s">
        <v>20</v>
      </c>
      <c r="AB41" s="125" t="s">
        <v>114</v>
      </c>
      <c r="AC41" s="123" t="s">
        <v>352</v>
      </c>
      <c r="AD41" s="126">
        <f t="shared" si="44"/>
        <v>0.48</v>
      </c>
      <c r="AE41" s="82" t="str">
        <f t="shared" si="45"/>
        <v>Media</v>
      </c>
      <c r="AF41" s="81">
        <f t="shared" si="46"/>
        <v>0.48</v>
      </c>
      <c r="AG41" s="82" t="str">
        <f t="shared" si="47"/>
        <v>Catastrófico</v>
      </c>
      <c r="AH41" s="81">
        <f t="shared" si="48"/>
        <v>1</v>
      </c>
      <c r="AI41" s="83" t="str">
        <f t="shared" si="49"/>
        <v>Extremo</v>
      </c>
      <c r="AJ41" s="83" t="str">
        <f t="shared" ref="AJ41:AJ53" si="53">AI41</f>
        <v>Extremo</v>
      </c>
      <c r="AK41" s="125" t="s">
        <v>129</v>
      </c>
      <c r="AL41" s="136" t="s">
        <v>637</v>
      </c>
      <c r="AM41" s="140" t="s">
        <v>349</v>
      </c>
      <c r="AN41" s="185" t="s">
        <v>627</v>
      </c>
      <c r="AO41" s="236" t="s">
        <v>407</v>
      </c>
      <c r="AP41" s="140" t="s">
        <v>350</v>
      </c>
      <c r="AQ41" s="142" t="s">
        <v>38</v>
      </c>
    </row>
    <row r="42" spans="2:43" ht="142.5" customHeight="1" x14ac:dyDescent="0.2">
      <c r="B42" s="425"/>
      <c r="C42" s="231" t="s">
        <v>314</v>
      </c>
      <c r="D42" s="143">
        <v>26</v>
      </c>
      <c r="E42" s="212" t="s">
        <v>319</v>
      </c>
      <c r="F42" s="140" t="s">
        <v>328</v>
      </c>
      <c r="G42" s="136" t="s">
        <v>587</v>
      </c>
      <c r="H42" s="143" t="s">
        <v>563</v>
      </c>
      <c r="I42" s="143" t="s">
        <v>686</v>
      </c>
      <c r="J42" s="140" t="s">
        <v>118</v>
      </c>
      <c r="K42" s="143" t="s">
        <v>624</v>
      </c>
      <c r="L42" s="142">
        <f>10*365</f>
        <v>3650</v>
      </c>
      <c r="M42" s="192" t="str">
        <f t="shared" si="39"/>
        <v>Alta</v>
      </c>
      <c r="N42" s="193">
        <f t="shared" si="40"/>
        <v>0.8</v>
      </c>
      <c r="O42" s="194" t="s">
        <v>142</v>
      </c>
      <c r="P42" s="193" t="s">
        <v>142</v>
      </c>
      <c r="Q42" s="192" t="str">
        <f>IF(OR(P42='Tabla Impacto'!$C$11,P42='Tabla Impacto'!$D$11),"Leve",IF(OR(P42='Tabla Impacto'!$C$12,P42='Tabla Impacto'!$D$12),"Menor",IF(OR(P42='Tabla Impacto'!$C$13,P42='Tabla Impacto'!$D$13),"Moderado",IF(OR(P42='Tabla Impacto'!$C$14,P42='Tabla Impacto'!$D$14),"Mayor",IF(OR(P42='Tabla Impacto'!$C$15,P42='Tabla Impacto'!$D$15),"Catastrófico","")))))</f>
        <v>Catastrófico</v>
      </c>
      <c r="R42" s="193">
        <f t="shared" si="41"/>
        <v>1</v>
      </c>
      <c r="S42" s="245" t="str">
        <f t="shared" si="42"/>
        <v>Extremo</v>
      </c>
      <c r="T42" s="143">
        <v>1</v>
      </c>
      <c r="U42" s="136" t="s">
        <v>353</v>
      </c>
      <c r="V42" s="124" t="str">
        <f t="shared" ref="V42" si="54">IF(OR(W42="Preventivo",W42="Detectivo"),"Probabilidad",IF(W42="Correctivo","Impacto",""))</f>
        <v>Probabilidad</v>
      </c>
      <c r="W42" s="125" t="s">
        <v>12</v>
      </c>
      <c r="X42" s="125" t="s">
        <v>7</v>
      </c>
      <c r="Y42" s="81" t="str">
        <f t="shared" ref="Y42" si="55">IF(AND(W42="Preventivo",X42="Automático"),"50%",IF(AND(W42="Preventivo",X42="Manual"),"40%",IF(AND(W42="Detectivo",X42="Automático"),"40%",IF(AND(W42="Detectivo",X42="Manual"),"30%",IF(AND(W42="Correctivo",X42="Automático"),"35%",IF(AND(W42="Correctivo",X42="Manual"),"25%",""))))))</f>
        <v>40%</v>
      </c>
      <c r="Z42" s="125" t="s">
        <v>17</v>
      </c>
      <c r="AA42" s="125" t="s">
        <v>20</v>
      </c>
      <c r="AB42" s="125" t="s">
        <v>114</v>
      </c>
      <c r="AC42" s="123" t="s">
        <v>354</v>
      </c>
      <c r="AD42" s="126">
        <f t="shared" si="44"/>
        <v>0.48</v>
      </c>
      <c r="AE42" s="82" t="str">
        <f t="shared" si="45"/>
        <v>Media</v>
      </c>
      <c r="AF42" s="81">
        <f t="shared" si="46"/>
        <v>0.48</v>
      </c>
      <c r="AG42" s="82" t="str">
        <f t="shared" si="47"/>
        <v>Catastrófico</v>
      </c>
      <c r="AH42" s="81">
        <f t="shared" si="48"/>
        <v>1</v>
      </c>
      <c r="AI42" s="83" t="str">
        <f t="shared" si="49"/>
        <v>Extremo</v>
      </c>
      <c r="AJ42" s="83" t="str">
        <f t="shared" si="53"/>
        <v>Extremo</v>
      </c>
      <c r="AK42" s="125" t="s">
        <v>129</v>
      </c>
      <c r="AL42" s="136" t="s">
        <v>638</v>
      </c>
      <c r="AM42" s="136" t="s">
        <v>639</v>
      </c>
      <c r="AN42" s="185" t="s">
        <v>627</v>
      </c>
      <c r="AO42" s="236" t="s">
        <v>407</v>
      </c>
      <c r="AP42" s="123" t="s">
        <v>354</v>
      </c>
      <c r="AQ42" s="142" t="s">
        <v>38</v>
      </c>
    </row>
    <row r="43" spans="2:43" ht="194.25" customHeight="1" x14ac:dyDescent="0.2">
      <c r="B43" s="425"/>
      <c r="C43" s="231" t="s">
        <v>314</v>
      </c>
      <c r="D43" s="143">
        <v>27</v>
      </c>
      <c r="E43" s="212" t="s">
        <v>320</v>
      </c>
      <c r="F43" s="140" t="s">
        <v>329</v>
      </c>
      <c r="G43" s="136" t="s">
        <v>587</v>
      </c>
      <c r="H43" s="143" t="s">
        <v>563</v>
      </c>
      <c r="I43" s="143" t="s">
        <v>686</v>
      </c>
      <c r="J43" s="140" t="s">
        <v>118</v>
      </c>
      <c r="K43" s="143" t="s">
        <v>624</v>
      </c>
      <c r="L43" s="142">
        <f>10*365</f>
        <v>3650</v>
      </c>
      <c r="M43" s="192" t="str">
        <f t="shared" si="39"/>
        <v>Alta</v>
      </c>
      <c r="N43" s="193">
        <f t="shared" si="40"/>
        <v>0.8</v>
      </c>
      <c r="O43" s="194" t="s">
        <v>142</v>
      </c>
      <c r="P43" s="193" t="s">
        <v>142</v>
      </c>
      <c r="Q43" s="192" t="str">
        <f>IF(OR(P43='Tabla Impacto'!$C$11,P43='Tabla Impacto'!$D$11),"Leve",IF(OR(P43='Tabla Impacto'!$C$12,P43='Tabla Impacto'!$D$12),"Menor",IF(OR(P43='Tabla Impacto'!$C$13,P43='Tabla Impacto'!$D$13),"Moderado",IF(OR(P43='Tabla Impacto'!$C$14,P43='Tabla Impacto'!$D$14),"Mayor",IF(OR(P43='Tabla Impacto'!$C$15,P43='Tabla Impacto'!$D$15),"Catastrófico","")))))</f>
        <v>Catastrófico</v>
      </c>
      <c r="R43" s="193">
        <f t="shared" si="41"/>
        <v>1</v>
      </c>
      <c r="S43" s="245" t="str">
        <f t="shared" si="42"/>
        <v>Extremo</v>
      </c>
      <c r="T43" s="143">
        <v>1</v>
      </c>
      <c r="U43" s="140" t="s">
        <v>355</v>
      </c>
      <c r="V43" s="124" t="str">
        <f t="shared" ref="V43" si="56">IF(OR(W43="Preventivo",W43="Detectivo"),"Probabilidad",IF(W43="Correctivo","Impacto",""))</f>
        <v>Probabilidad</v>
      </c>
      <c r="W43" s="125" t="s">
        <v>12</v>
      </c>
      <c r="X43" s="125" t="s">
        <v>7</v>
      </c>
      <c r="Y43" s="81" t="str">
        <f>IF(AND(W43="Preventivo",X43="Automático"),"50%",IF(AND(W43="Preventivo",X43="Manual"),"40%",IF(AND(W43="Detectivo",X43="Automático"),"40%",IF(AND(W43="Detectivo",X43="Manual"),"30%",IF(AND(W43="Correctivo",X43="Automático"),"35%",IF(AND(W43="Correctivo",X43="Manual"),"25%",""))))))</f>
        <v>40%</v>
      </c>
      <c r="Z43" s="125" t="s">
        <v>17</v>
      </c>
      <c r="AA43" s="125" t="s">
        <v>20</v>
      </c>
      <c r="AB43" s="125" t="s">
        <v>114</v>
      </c>
      <c r="AC43" s="123" t="s">
        <v>356</v>
      </c>
      <c r="AD43" s="126">
        <f t="shared" si="44"/>
        <v>0.48</v>
      </c>
      <c r="AE43" s="82" t="str">
        <f t="shared" si="45"/>
        <v>Media</v>
      </c>
      <c r="AF43" s="81">
        <f t="shared" si="46"/>
        <v>0.48</v>
      </c>
      <c r="AG43" s="82" t="str">
        <f t="shared" si="47"/>
        <v>Catastrófico</v>
      </c>
      <c r="AH43" s="81">
        <f t="shared" si="48"/>
        <v>1</v>
      </c>
      <c r="AI43" s="83" t="str">
        <f t="shared" si="49"/>
        <v>Extremo</v>
      </c>
      <c r="AJ43" s="167" t="str">
        <f t="shared" si="53"/>
        <v>Extremo</v>
      </c>
      <c r="AK43" s="125" t="s">
        <v>129</v>
      </c>
      <c r="AL43" s="233" t="s">
        <v>640</v>
      </c>
      <c r="AM43" s="136" t="s">
        <v>639</v>
      </c>
      <c r="AN43" s="185" t="s">
        <v>627</v>
      </c>
      <c r="AO43" s="236" t="s">
        <v>407</v>
      </c>
      <c r="AP43" s="145" t="s">
        <v>356</v>
      </c>
      <c r="AQ43" s="142" t="s">
        <v>38</v>
      </c>
    </row>
    <row r="44" spans="2:43" ht="114.75" customHeight="1" x14ac:dyDescent="0.2">
      <c r="B44" s="425"/>
      <c r="C44" s="416" t="s">
        <v>314</v>
      </c>
      <c r="D44" s="393">
        <v>28</v>
      </c>
      <c r="E44" s="479" t="s">
        <v>321</v>
      </c>
      <c r="F44" s="478" t="s">
        <v>330</v>
      </c>
      <c r="G44" s="390" t="s">
        <v>588</v>
      </c>
      <c r="H44" s="392" t="s">
        <v>563</v>
      </c>
      <c r="I44" s="392" t="s">
        <v>565</v>
      </c>
      <c r="J44" s="478" t="s">
        <v>121</v>
      </c>
      <c r="K44" s="392" t="s">
        <v>624</v>
      </c>
      <c r="L44" s="483">
        <f>365*4</f>
        <v>1460</v>
      </c>
      <c r="M44" s="464" t="str">
        <f t="shared" si="39"/>
        <v>Alta</v>
      </c>
      <c r="N44" s="466">
        <f t="shared" si="40"/>
        <v>0.8</v>
      </c>
      <c r="O44" s="485" t="s">
        <v>146</v>
      </c>
      <c r="P44" s="466" t="s">
        <v>146</v>
      </c>
      <c r="Q44" s="460" t="str">
        <f>IF(OR(P44='Tabla Impacto'!$C$11,P44='Tabla Impacto'!$D$11),"Leve",IF(OR(P44='Tabla Impacto'!$C$12,P44='Tabla Impacto'!$D$12),"Menor",IF(OR(P44='Tabla Impacto'!$C$13,P44='Tabla Impacto'!$D$13),"Moderado",IF(OR(P44='Tabla Impacto'!$C$14,P44='Tabla Impacto'!$D$14),"Mayor",IF(OR(P44='Tabla Impacto'!$C$15,P44='Tabla Impacto'!$D$15),"Catastrófico","")))))</f>
        <v>Mayor</v>
      </c>
      <c r="R44" s="466">
        <f t="shared" si="41"/>
        <v>0.8</v>
      </c>
      <c r="S44" s="487" t="str">
        <f t="shared" si="42"/>
        <v>Alto</v>
      </c>
      <c r="T44" s="159">
        <v>1</v>
      </c>
      <c r="U44" s="326" t="s">
        <v>357</v>
      </c>
      <c r="V44" s="289" t="str">
        <f t="shared" si="50"/>
        <v>Probabilidad</v>
      </c>
      <c r="W44" s="147" t="s">
        <v>12</v>
      </c>
      <c r="X44" s="147" t="s">
        <v>7</v>
      </c>
      <c r="Y44" s="148" t="str">
        <f>IF(AND(W44="Preventivo",X44="Automático"),"50%",IF(AND(W44="Preventivo",X44="Manual"),"40%",IF(AND(W44="Detectivo",X44="Automático"),"40%",IF(AND(W44="Detectivo",X44="Manual"),"30%",IF(AND(W44="Correctivo",X44="Automático"),"35%",IF(AND(W44="Correctivo",X44="Manual"),"25%",""))))))</f>
        <v>40%</v>
      </c>
      <c r="Z44" s="161" t="s">
        <v>17</v>
      </c>
      <c r="AA44" s="162" t="s">
        <v>20</v>
      </c>
      <c r="AB44" s="163" t="s">
        <v>114</v>
      </c>
      <c r="AC44" s="293" t="s">
        <v>358</v>
      </c>
      <c r="AD44" s="179">
        <f t="shared" si="44"/>
        <v>0.48</v>
      </c>
      <c r="AE44" s="165" t="str">
        <f t="shared" si="45"/>
        <v>Media</v>
      </c>
      <c r="AF44" s="148">
        <f t="shared" si="46"/>
        <v>0.48</v>
      </c>
      <c r="AG44" s="166" t="str">
        <f t="shared" si="47"/>
        <v>Mayor</v>
      </c>
      <c r="AH44" s="148">
        <f t="shared" si="48"/>
        <v>0.8</v>
      </c>
      <c r="AI44" s="167" t="str">
        <f t="shared" si="49"/>
        <v>Alto</v>
      </c>
      <c r="AJ44" s="83" t="str">
        <f t="shared" si="53"/>
        <v>Alto</v>
      </c>
      <c r="AK44" s="401" t="s">
        <v>30</v>
      </c>
      <c r="AL44" s="388" t="s">
        <v>359</v>
      </c>
      <c r="AM44" s="388" t="s">
        <v>360</v>
      </c>
      <c r="AN44" s="397" t="s">
        <v>627</v>
      </c>
      <c r="AO44" s="403" t="s">
        <v>407</v>
      </c>
      <c r="AP44" s="388" t="s">
        <v>361</v>
      </c>
      <c r="AQ44" s="399" t="s">
        <v>38</v>
      </c>
    </row>
    <row r="45" spans="2:43" ht="124.5" customHeight="1" x14ac:dyDescent="0.2">
      <c r="B45" s="425"/>
      <c r="C45" s="416"/>
      <c r="D45" s="393"/>
      <c r="E45" s="429"/>
      <c r="F45" s="430"/>
      <c r="G45" s="425"/>
      <c r="H45" s="393"/>
      <c r="I45" s="393"/>
      <c r="J45" s="430"/>
      <c r="K45" s="393"/>
      <c r="L45" s="484"/>
      <c r="M45" s="465"/>
      <c r="N45" s="420"/>
      <c r="O45" s="486"/>
      <c r="P45" s="444"/>
      <c r="Q45" s="460"/>
      <c r="R45" s="444"/>
      <c r="S45" s="488"/>
      <c r="T45" s="295">
        <v>2</v>
      </c>
      <c r="U45" s="222" t="s">
        <v>713</v>
      </c>
      <c r="V45" s="178" t="str">
        <f t="shared" si="50"/>
        <v>Probabilidad</v>
      </c>
      <c r="W45" s="168" t="s">
        <v>12</v>
      </c>
      <c r="X45" s="168" t="s">
        <v>7</v>
      </c>
      <c r="Y45" s="150" t="str">
        <f t="shared" ref="Y45" si="57">IF(AND(W45="Preventivo",X45="Automático"),"50%",IF(AND(W45="Preventivo",X45="Manual"),"40%",IF(AND(W45="Detectivo",X45="Automático"),"40%",IF(AND(W45="Detectivo",X45="Manual"),"30%",IF(AND(W45="Correctivo",X45="Automático"),"35%",IF(AND(W45="Correctivo",X45="Manual"),"25%",""))))))</f>
        <v>40%</v>
      </c>
      <c r="Z45" s="169" t="s">
        <v>17</v>
      </c>
      <c r="AA45" s="170" t="s">
        <v>20</v>
      </c>
      <c r="AB45" s="171" t="s">
        <v>114</v>
      </c>
      <c r="AC45" s="186" t="s">
        <v>748</v>
      </c>
      <c r="AD45" s="164">
        <f>IFERROR(IF(AND(V44="Probabilidad",V45="Probabilidad"),(AF44-(+AF44*Y45)),IF(V45="Probabilidad",(N44-(+N44*Y45)),IF(V45="Impacto",AF44,""))),"")</f>
        <v>0.28799999999999998</v>
      </c>
      <c r="AE45" s="151" t="str">
        <f t="shared" ref="AE45" si="58">IFERROR(IF(AD45="","",IF(AD45&lt;=0.2,"Muy Baja",IF(AD45&lt;=0.4,"Baja",IF(AD45&lt;=0.6,"Media",IF(AD45&lt;=0.8,"Alta","Muy Alta"))))),"")</f>
        <v>Baja</v>
      </c>
      <c r="AF45" s="81">
        <f t="shared" ref="AF45" si="59">+AD45</f>
        <v>0.28799999999999998</v>
      </c>
      <c r="AG45" s="82" t="str">
        <f t="shared" ref="AG45" si="60">IFERROR(IF(AH45="","",IF(AH45&lt;=0.2,"Leve",IF(AH45&lt;=0.4,"Menor",IF(AH45&lt;=0.6,"Moderado",IF(AH45&lt;=0.8,"Mayor","Catastrófico"))))),"")</f>
        <v>Mayor</v>
      </c>
      <c r="AH45" s="152">
        <f>IFERROR(IF(AND(V44="Impacto",V45="Impacto"),(AH44-(+AH44*Y45)),IF(V45="Impacto",(#REF!-(+#REF!*Y45)),IF(V45="Probabilidad",AH44,""))),"")</f>
        <v>0.8</v>
      </c>
      <c r="AI45" s="83" t="str">
        <f t="shared" ref="AI45" si="61">IFERROR(IF(OR(AND(AE45="Muy Baja",AG45="Leve"),AND(AE45="Muy Baja",AG45="Menor"),AND(AE45="Baja",AG45="Leve")),"Bajo",IF(OR(AND(AE45="Muy baja",AG45="Moderado"),AND(AE45="Baja",AG45="Menor"),AND(AE45="Baja",AG45="Moderado"),AND(AE45="Media",AG45="Leve"),AND(AE45="Media",AG45="Menor"),AND(AE45="Media",AG45="Moderado"),AND(AE45="Alta",AG45="Leve"),AND(AE45="Alta",AG45="Menor")),"Moderado",IF(OR(AND(AE45="Muy Baja",AG45="Mayor"),AND(AE45="Baja",AG45="Mayor"),AND(AE45="Media",AG45="Mayor"),AND(AE45="Alta",AG45="Moderado"),AND(AE45="Alta",AG45="Mayor"),AND(AE45="Muy Alta",AG45="Leve"),AND(AE45="Muy Alta",AG45="Menor"),AND(AE45="Muy Alta",AG45="Moderado"),AND(AE45="Muy Alta",AG45="Mayor")),"Alto",IF(OR(AND(AE45="Muy Baja",AG45="Catastrófico"),AND(AE45="Baja",AG45="Catastrófico"),AND(AE45="Media",AG45="Catastrófico"),AND(AE45="Alta",AG45="Catastrófico"),AND(AE45="Muy Alta",AG45="Catastrófico")),"Extremo","")))),"")</f>
        <v>Alto</v>
      </c>
      <c r="AJ45" s="83" t="str">
        <f t="shared" si="53"/>
        <v>Alto</v>
      </c>
      <c r="AK45" s="402"/>
      <c r="AL45" s="396"/>
      <c r="AM45" s="396"/>
      <c r="AN45" s="398"/>
      <c r="AO45" s="404"/>
      <c r="AP45" s="396"/>
      <c r="AQ45" s="400"/>
    </row>
    <row r="46" spans="2:43" ht="90.75" customHeight="1" x14ac:dyDescent="0.2">
      <c r="B46" s="425"/>
      <c r="C46" s="213" t="s">
        <v>314</v>
      </c>
      <c r="D46" s="143">
        <v>29</v>
      </c>
      <c r="E46" s="214" t="s">
        <v>714</v>
      </c>
      <c r="F46" s="200" t="s">
        <v>331</v>
      </c>
      <c r="G46" s="136" t="s">
        <v>589</v>
      </c>
      <c r="H46" s="143" t="s">
        <v>563</v>
      </c>
      <c r="I46" s="143" t="s">
        <v>684</v>
      </c>
      <c r="J46" s="200" t="s">
        <v>118</v>
      </c>
      <c r="K46" s="143" t="s">
        <v>624</v>
      </c>
      <c r="L46" s="227">
        <v>2</v>
      </c>
      <c r="M46" s="216" t="str">
        <f>IF(L46&lt;=0,"",IF(L46&lt;=2,"Muy Baja",IF(L46&lt;=24,"Baja",IF(L46&lt;=500,"Media",IF(L46&lt;=5000,"Alta","Muy Alta")))))</f>
        <v>Muy Baja</v>
      </c>
      <c r="N46" s="324">
        <f>IF(M46="","",IF(M46="Muy Baja",0.2,IF(M46="Baja",0.4,IF(M46="Media",0.6,IF(M46="Alta",0.8,IF(M46="Muy Alta",1,))))))</f>
        <v>0.2</v>
      </c>
      <c r="O46" s="194" t="s">
        <v>142</v>
      </c>
      <c r="P46" s="193" t="s">
        <v>142</v>
      </c>
      <c r="Q46" s="192" t="str">
        <f>IF(OR(P46='Tabla Impacto'!$C$11,P46='Tabla Impacto'!$D$11),"Leve",IF(OR(P46='Tabla Impacto'!$C$12,P46='Tabla Impacto'!$D$12),"Menor",IF(OR(P46='Tabla Impacto'!$C$13,P46='Tabla Impacto'!$D$13),"Moderado",IF(OR(P46='Tabla Impacto'!$C$14,P46='Tabla Impacto'!$D$14),"Mayor",IF(OR(P46='Tabla Impacto'!$C$15,P46='Tabla Impacto'!$D$15),"Catastrófico","")))))</f>
        <v>Catastrófico</v>
      </c>
      <c r="R46" s="193">
        <f>IF(Q46="","",IF(Q46="Leve",0.2,IF(Q46="Menor",0.4,IF(Q46="Moderado",0.6,IF(Q46="Mayor",0.8,IF(Q46="Catastrófico",1,))))))</f>
        <v>1</v>
      </c>
      <c r="S46" s="245" t="str">
        <f>IF(OR(AND(M46="Muy Baja",Q46="Leve"),AND(M46="Muy Baja",Q46="Menor"),AND(M46="Baja",Q46="Leve")),"Bajo",IF(OR(AND(M46="Muy baja",Q46="Moderado"),AND(M46="Baja",Q46="Menor"),AND(M46="Baja",Q46="Moderado"),AND(M46="Media",Q46="Leve"),AND(M46="Media",Q46="Menor"),AND(M46="Media",Q46="Moderado"),AND(M46="Alta",Q46="Leve"),AND(M46="Alta",Q46="Menor")),"Moderado",IF(OR(AND(M46="Muy Baja",Q46="Mayor"),AND(M46="Baja",Q46="Mayor"),AND(M46="Media",Q46="Mayor"),AND(M46="Alta",Q46="Moderado"),AND(M46="Alta",Q46="Mayor"),AND(M46="Muy Alta",Q46="Leve"),AND(M46="Muy Alta",Q46="Menor"),AND(M46="Muy Alta",Q46="Moderado"),AND(M46="Muy Alta",Q46="Mayor")),"Alto",IF(OR(AND(M46="Muy Baja",Q46="Catastrófico"),AND(M46="Baja",Q46="Catastrófico"),AND(M46="Media",Q46="Catastrófico"),AND(M46="Alta",Q46="Catastrófico"),AND(M46="Muy Alta",Q46="Catastrófico")),"Extremo",""))))</f>
        <v>Extremo</v>
      </c>
      <c r="T46" s="143">
        <v>1</v>
      </c>
      <c r="U46" s="214" t="s">
        <v>749</v>
      </c>
      <c r="V46" s="178" t="str">
        <f t="shared" si="50"/>
        <v>Probabilidad</v>
      </c>
      <c r="W46" s="168" t="s">
        <v>12</v>
      </c>
      <c r="X46" s="168" t="s">
        <v>7</v>
      </c>
      <c r="Y46" s="150" t="str">
        <f>IF(AND(W46="Preventivo",X46="Automático"),"50%",IF(AND(W46="Preventivo",X46="Manual"),"40%",IF(AND(W46="Detectivo",X46="Automático"),"40%",IF(AND(W46="Detectivo",X46="Manual"),"30%",IF(AND(W46="Correctivo",X46="Automático"),"35%",IF(AND(W46="Correctivo",X46="Manual"),"25%",""))))))</f>
        <v>40%</v>
      </c>
      <c r="Z46" s="169" t="s">
        <v>363</v>
      </c>
      <c r="AA46" s="170" t="s">
        <v>20</v>
      </c>
      <c r="AB46" s="171" t="s">
        <v>114</v>
      </c>
      <c r="AC46" s="180" t="s">
        <v>364</v>
      </c>
      <c r="AD46" s="164">
        <f t="shared" ref="AD46:AD51" si="62">IFERROR(IF(V46="Probabilidad",(N46-(+N46*Y46)),IF(V46="Impacto",N46,"")),"")</f>
        <v>0.12</v>
      </c>
      <c r="AE46" s="151" t="str">
        <f t="shared" ref="AE46:AE51" si="63">IFERROR(IF(AD46="","",IF(AD46&lt;=0.2,"Muy Baja",IF(AD46&lt;=0.4,"Baja",IF(AD46&lt;=0.6,"Media",IF(AD46&lt;=0.8,"Alta","Muy Alta"))))),"")</f>
        <v>Muy Baja</v>
      </c>
      <c r="AF46" s="81">
        <f t="shared" ref="AF46:AF51" si="64">+AD46</f>
        <v>0.12</v>
      </c>
      <c r="AG46" s="82" t="str">
        <f t="shared" ref="AG46:AG51" si="65">IFERROR(IF(AH46="","",IF(AH46&lt;=0.2,"Leve",IF(AH46&lt;=0.4,"Menor",IF(AH46&lt;=0.6,"Moderado",IF(AH46&lt;=0.8,"Mayor","Catastrófico"))))),"")</f>
        <v>Catastrófico</v>
      </c>
      <c r="AH46" s="81">
        <f t="shared" ref="AH46:AH51" si="66">IFERROR(IF(V46="Impacto",(R46-(+R46*Y46)),IF(V46="Probabilidad",R46,"")),"")</f>
        <v>1</v>
      </c>
      <c r="AI46" s="83" t="str">
        <f t="shared" ref="AI46:AI51" si="67">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Extremo</v>
      </c>
      <c r="AJ46" s="83" t="str">
        <f t="shared" si="53"/>
        <v>Extremo</v>
      </c>
      <c r="AK46" s="125" t="s">
        <v>129</v>
      </c>
      <c r="AL46" s="136" t="s">
        <v>641</v>
      </c>
      <c r="AM46" s="143" t="s">
        <v>642</v>
      </c>
      <c r="AN46" s="239" t="s">
        <v>627</v>
      </c>
      <c r="AO46" s="84" t="s">
        <v>407</v>
      </c>
      <c r="AP46" s="123" t="s">
        <v>364</v>
      </c>
      <c r="AQ46" s="240" t="s">
        <v>38</v>
      </c>
    </row>
    <row r="47" spans="2:43" ht="185.25" customHeight="1" x14ac:dyDescent="0.2">
      <c r="B47" s="425"/>
      <c r="C47" s="203" t="s">
        <v>315</v>
      </c>
      <c r="D47" s="143">
        <v>30</v>
      </c>
      <c r="E47" s="214" t="s">
        <v>322</v>
      </c>
      <c r="F47" s="200" t="s">
        <v>332</v>
      </c>
      <c r="G47" s="136" t="s">
        <v>590</v>
      </c>
      <c r="H47" s="143" t="s">
        <v>563</v>
      </c>
      <c r="I47" s="143" t="s">
        <v>684</v>
      </c>
      <c r="J47" s="222" t="s">
        <v>118</v>
      </c>
      <c r="K47" s="143" t="s">
        <v>624</v>
      </c>
      <c r="L47" s="217">
        <f>365*18</f>
        <v>6570</v>
      </c>
      <c r="M47" s="216" t="str">
        <f>IF(L47&lt;=0,"",IF(L47&lt;=2,"Muy Baja",IF(L47&lt;=24,"Baja",IF(L47&lt;=500,"Media",IF(L47&lt;=5000,"Alta","Muy Alta")))))</f>
        <v>Muy Alta</v>
      </c>
      <c r="N47" s="153">
        <f>IF(M47="","",IF(M47="Muy Baja",0.2,IF(M47="Baja",0.4,IF(M47="Media",0.6,IF(M47="Alta",0.8,IF(M47="Muy Alta",1,))))))</f>
        <v>1</v>
      </c>
      <c r="O47" s="249" t="s">
        <v>146</v>
      </c>
      <c r="P47" s="246" t="s">
        <v>146</v>
      </c>
      <c r="Q47" s="196" t="str">
        <f>IF(OR(P47='Tabla Impacto'!$C$11,P47='Tabla Impacto'!$D$11),"Leve",IF(OR(P47='Tabla Impacto'!$C$12,P47='Tabla Impacto'!$D$12),"Menor",IF(OR(P47='Tabla Impacto'!$C$13,P47='Tabla Impacto'!$D$13),"Moderado",IF(OR(P47='Tabla Impacto'!$C$14,P47='Tabla Impacto'!$D$14),"Mayor",IF(OR(P47='Tabla Impacto'!$C$15,P47='Tabla Impacto'!$D$15),"Catastrófico","")))))</f>
        <v>Mayor</v>
      </c>
      <c r="R47" s="246">
        <f>IF(Q47="","",IF(Q47="Leve",0.2,IF(Q47="Menor",0.4,IF(Q47="Moderado",0.6,IF(Q47="Mayor",0.8,IF(Q47="Catastrófico",1,))))))</f>
        <v>0.8</v>
      </c>
      <c r="S47" s="317" t="str">
        <f>IF(OR(AND(M47="Muy Baja",Q47="Leve"),AND(M47="Muy Baja",Q47="Menor"),AND(M47="Baja",Q47="Leve")),"Bajo",IF(OR(AND(M47="Muy baja",Q47="Moderado"),AND(M47="Baja",Q47="Menor"),AND(M47="Baja",Q47="Moderado"),AND(M47="Media",Q47="Leve"),AND(M47="Media",Q47="Menor"),AND(M47="Media",Q47="Moderado"),AND(M47="Alta",Q47="Leve"),AND(M47="Alta",Q47="Menor")),"Moderado",IF(OR(AND(M47="Muy Baja",Q47="Mayor"),AND(M47="Baja",Q47="Mayor"),AND(M47="Media",Q47="Mayor"),AND(M47="Alta",Q47="Moderado"),AND(M47="Alta",Q47="Mayor"),AND(M47="Muy Alta",Q47="Leve"),AND(M47="Muy Alta",Q47="Menor"),AND(M47="Muy Alta",Q47="Moderado"),AND(M47="Muy Alta",Q47="Mayor")),"Alto",IF(OR(AND(M47="Muy Baja",Q47="Catastrófico"),AND(M47="Baja",Q47="Catastrófico"),AND(M47="Media",Q47="Catastrófico"),AND(M47="Alta",Q47="Catastrófico"),AND(M47="Muy Alta",Q47="Catastrófico")),"Extremo",""))))</f>
        <v>Alto</v>
      </c>
      <c r="T47" s="159">
        <v>1</v>
      </c>
      <c r="U47" s="222" t="s">
        <v>365</v>
      </c>
      <c r="V47" s="178" t="str">
        <f t="shared" ref="V47:V50" si="68">IF(OR(W47="Preventivo",W47="Detectivo"),"Probabilidad",IF(W47="Correctivo","Impacto",""))</f>
        <v>Probabilidad</v>
      </c>
      <c r="W47" s="168" t="s">
        <v>12</v>
      </c>
      <c r="X47" s="168" t="s">
        <v>7</v>
      </c>
      <c r="Y47" s="150" t="str">
        <f t="shared" ref="Y47" si="69">IF(AND(W47="Preventivo",X47="Automático"),"50%",IF(AND(W47="Preventivo",X47="Manual"),"40%",IF(AND(W47="Detectivo",X47="Automático"),"40%",IF(AND(W47="Detectivo",X47="Manual"),"30%",IF(AND(W47="Correctivo",X47="Automático"),"35%",IF(AND(W47="Correctivo",X47="Manual"),"25%",""))))))</f>
        <v>40%</v>
      </c>
      <c r="Z47" s="169" t="s">
        <v>17</v>
      </c>
      <c r="AA47" s="170" t="s">
        <v>20</v>
      </c>
      <c r="AB47" s="171" t="s">
        <v>114</v>
      </c>
      <c r="AC47" s="184" t="s">
        <v>366</v>
      </c>
      <c r="AD47" s="164">
        <f t="shared" si="62"/>
        <v>0.6</v>
      </c>
      <c r="AE47" s="151" t="str">
        <f t="shared" si="63"/>
        <v>Media</v>
      </c>
      <c r="AF47" s="81">
        <f t="shared" si="64"/>
        <v>0.6</v>
      </c>
      <c r="AG47" s="82" t="str">
        <f t="shared" si="65"/>
        <v>Mayor</v>
      </c>
      <c r="AH47" s="81">
        <f t="shared" si="66"/>
        <v>0.8</v>
      </c>
      <c r="AI47" s="83" t="str">
        <f t="shared" si="67"/>
        <v>Alto</v>
      </c>
      <c r="AJ47" s="83" t="str">
        <f t="shared" si="53"/>
        <v>Alto</v>
      </c>
      <c r="AK47" s="125" t="s">
        <v>129</v>
      </c>
      <c r="AL47" s="140" t="s">
        <v>367</v>
      </c>
      <c r="AM47" s="140" t="s">
        <v>368</v>
      </c>
      <c r="AN47" s="239" t="s">
        <v>627</v>
      </c>
      <c r="AO47" s="84" t="s">
        <v>407</v>
      </c>
      <c r="AP47" s="140" t="s">
        <v>369</v>
      </c>
      <c r="AQ47" s="142" t="s">
        <v>38</v>
      </c>
    </row>
    <row r="48" spans="2:43" ht="118.5" customHeight="1" x14ac:dyDescent="0.2">
      <c r="B48" s="425"/>
      <c r="C48" s="204" t="s">
        <v>316</v>
      </c>
      <c r="D48" s="143">
        <v>31</v>
      </c>
      <c r="E48" s="214" t="s">
        <v>323</v>
      </c>
      <c r="F48" s="226" t="s">
        <v>333</v>
      </c>
      <c r="G48" s="136" t="s">
        <v>591</v>
      </c>
      <c r="H48" s="143" t="s">
        <v>563</v>
      </c>
      <c r="I48" s="143" t="s">
        <v>565</v>
      </c>
      <c r="J48" s="222" t="s">
        <v>123</v>
      </c>
      <c r="K48" s="143" t="s">
        <v>624</v>
      </c>
      <c r="L48" s="217">
        <f>365*43</f>
        <v>15695</v>
      </c>
      <c r="M48" s="216" t="str">
        <f>IF(L48&lt;=0,"",IF(L48&lt;=2,"Muy Baja",IF(L48&lt;=24,"Baja",IF(L48&lt;=500,"Media",IF(L48&lt;=5000,"Alta","Muy Alta")))))</f>
        <v>Muy Alta</v>
      </c>
      <c r="N48" s="153">
        <f>IF(M48="","",IF(M48="Muy Baja",0.2,IF(M48="Baja",0.4,IF(M48="Media",0.6,IF(M48="Alta",0.8,IF(M48="Muy Alta",1,))))))</f>
        <v>1</v>
      </c>
      <c r="O48" s="223" t="s">
        <v>143</v>
      </c>
      <c r="P48" s="153" t="s">
        <v>143</v>
      </c>
      <c r="Q48" s="196" t="str">
        <f>IF(OR(P48='Tabla Impacto'!$C$11,P48='Tabla Impacto'!$D$11),"Leve",IF(OR(P48='Tabla Impacto'!$C$12,P48='Tabla Impacto'!$D$12),"Menor",IF(OR(P48='Tabla Impacto'!$C$13,P48='Tabla Impacto'!$D$13),"Moderado",IF(OR(P48='Tabla Impacto'!$C$14,P48='Tabla Impacto'!$D$14),"Mayor",IF(OR(P48='Tabla Impacto'!$C$15,P48='Tabla Impacto'!$D$15),"Catastrófico","")))))</f>
        <v>Leve</v>
      </c>
      <c r="R48" s="153">
        <f>IF(Q48="","",IF(Q48="Leve",0.2,IF(Q48="Menor",0.4,IF(Q48="Moderado",0.6,IF(Q48="Mayor",0.8,IF(Q48="Catastrófico",1,))))))</f>
        <v>0.2</v>
      </c>
      <c r="S48" s="248" t="str">
        <f>IF(OR(AND(M48="Muy Baja",Q48="Leve"),AND(M48="Muy Baja",Q48="Menor"),AND(M48="Baja",Q48="Leve")),"Bajo",IF(OR(AND(M48="Muy baja",Q48="Moderado"),AND(M48="Baja",Q48="Menor"),AND(M48="Baja",Q48="Moderado"),AND(M48="Media",Q48="Leve"),AND(M48="Media",Q48="Menor"),AND(M48="Media",Q48="Moderado"),AND(M48="Alta",Q48="Leve"),AND(M48="Alta",Q48="Menor")),"Moderado",IF(OR(AND(M48="Muy Baja",Q48="Mayor"),AND(M48="Baja",Q48="Mayor"),AND(M48="Media",Q48="Mayor"),AND(M48="Alta",Q48="Moderado"),AND(M48="Alta",Q48="Mayor"),AND(M48="Muy Alta",Q48="Leve"),AND(M48="Muy Alta",Q48="Menor"),AND(M48="Muy Alta",Q48="Moderado"),AND(M48="Muy Alta",Q48="Mayor")),"Alto",IF(OR(AND(M48="Muy Baja",Q48="Catastrófico"),AND(M48="Baja",Q48="Catastrófico"),AND(M48="Media",Q48="Catastrófico"),AND(M48="Alta",Q48="Catastrófico"),AND(M48="Muy Alta",Q48="Catastrófico")),"Extremo",""))))</f>
        <v>Alto</v>
      </c>
      <c r="T48" s="160">
        <v>1</v>
      </c>
      <c r="U48" s="222" t="s">
        <v>370</v>
      </c>
      <c r="V48" s="178" t="str">
        <f t="shared" si="68"/>
        <v>Probabilidad</v>
      </c>
      <c r="W48" s="168" t="s">
        <v>12</v>
      </c>
      <c r="X48" s="168" t="s">
        <v>7</v>
      </c>
      <c r="Y48" s="150" t="str">
        <f t="shared" ref="Y48:Y56" si="70">IF(AND(W48="Preventivo",X48="Automático"),"50%",IF(AND(W48="Preventivo",X48="Manual"),"40%",IF(AND(W48="Detectivo",X48="Automático"),"40%",IF(AND(W48="Detectivo",X48="Manual"),"30%",IF(AND(W48="Correctivo",X48="Automático"),"35%",IF(AND(W48="Correctivo",X48="Manual"),"25%",""))))))</f>
        <v>40%</v>
      </c>
      <c r="Z48" s="169" t="s">
        <v>17</v>
      </c>
      <c r="AA48" s="170" t="s">
        <v>20</v>
      </c>
      <c r="AB48" s="171" t="s">
        <v>114</v>
      </c>
      <c r="AC48" s="145" t="s">
        <v>371</v>
      </c>
      <c r="AD48" s="164">
        <f t="shared" si="62"/>
        <v>0.6</v>
      </c>
      <c r="AE48" s="151" t="str">
        <f t="shared" si="63"/>
        <v>Media</v>
      </c>
      <c r="AF48" s="81">
        <f t="shared" si="64"/>
        <v>0.6</v>
      </c>
      <c r="AG48" s="82" t="str">
        <f t="shared" si="65"/>
        <v>Leve</v>
      </c>
      <c r="AH48" s="81">
        <f t="shared" si="66"/>
        <v>0.2</v>
      </c>
      <c r="AI48" s="83" t="str">
        <f t="shared" si="67"/>
        <v>Moderado</v>
      </c>
      <c r="AJ48" s="83" t="str">
        <f t="shared" si="53"/>
        <v>Moderado</v>
      </c>
      <c r="AK48" s="125" t="s">
        <v>30</v>
      </c>
      <c r="AL48" s="140"/>
      <c r="AM48" s="140"/>
      <c r="AN48" s="84"/>
      <c r="AO48" s="84"/>
      <c r="AP48" s="140"/>
      <c r="AQ48" s="142"/>
    </row>
    <row r="49" spans="2:43" ht="174.75" customHeight="1" x14ac:dyDescent="0.2">
      <c r="B49" s="425"/>
      <c r="C49" s="204" t="s">
        <v>316</v>
      </c>
      <c r="D49" s="143">
        <v>32</v>
      </c>
      <c r="E49" s="214" t="s">
        <v>324</v>
      </c>
      <c r="F49" s="200" t="s">
        <v>334</v>
      </c>
      <c r="G49" s="136" t="s">
        <v>592</v>
      </c>
      <c r="H49" s="143" t="s">
        <v>563</v>
      </c>
      <c r="I49" s="143" t="s">
        <v>684</v>
      </c>
      <c r="J49" s="222" t="s">
        <v>118</v>
      </c>
      <c r="K49" s="143" t="s">
        <v>624</v>
      </c>
      <c r="L49" s="217">
        <f>365*43</f>
        <v>15695</v>
      </c>
      <c r="M49" s="192" t="str">
        <f>IF(L49&lt;=0,"",IF(L49&lt;=2,"Muy Baja",IF(L49&lt;=24,"Baja",IF(L49&lt;=500,"Media",IF(L49&lt;=5000,"Alta","Muy Alta")))))</f>
        <v>Muy Alta</v>
      </c>
      <c r="N49" s="197">
        <f>IF(M49="","",IF(M49="Muy Baja",0.2,IF(M49="Baja",0.4,IF(M49="Media",0.6,IF(M49="Alta",0.8,IF(M49="Muy Alta",1,))))))</f>
        <v>1</v>
      </c>
      <c r="O49" s="223" t="s">
        <v>143</v>
      </c>
      <c r="P49" s="153" t="s">
        <v>143</v>
      </c>
      <c r="Q49" s="196" t="str">
        <f>IF(OR(P49='Tabla Impacto'!$C$11,P49='Tabla Impacto'!$D$11),"Leve",IF(OR(P49='Tabla Impacto'!$C$12,P49='Tabla Impacto'!$D$12),"Menor",IF(OR(P49='Tabla Impacto'!$C$13,P49='Tabla Impacto'!$D$13),"Moderado",IF(OR(P49='Tabla Impacto'!$C$14,P49='Tabla Impacto'!$D$14),"Mayor",IF(OR(P49='Tabla Impacto'!$C$15,P49='Tabla Impacto'!$D$15),"Catastrófico","")))))</f>
        <v>Leve</v>
      </c>
      <c r="R49" s="153">
        <f>IF(Q49="","",IF(Q49="Leve",0.2,IF(Q49="Menor",0.4,IF(Q49="Moderado",0.6,IF(Q49="Mayor",0.8,IF(Q49="Catastrófico",1,))))))</f>
        <v>0.2</v>
      </c>
      <c r="S49" s="248" t="str">
        <f>IF(OR(AND(M49="Muy Baja",Q49="Leve"),AND(M49="Muy Baja",Q49="Menor"),AND(M49="Baja",Q49="Leve")),"Bajo",IF(OR(AND(M49="Muy baja",Q49="Moderado"),AND(M49="Baja",Q49="Menor"),AND(M49="Baja",Q49="Moderado"),AND(M49="Media",Q49="Leve"),AND(M49="Media",Q49="Menor"),AND(M49="Media",Q49="Moderado"),AND(M49="Alta",Q49="Leve"),AND(M49="Alta",Q49="Menor")),"Moderado",IF(OR(AND(M49="Muy Baja",Q49="Mayor"),AND(M49="Baja",Q49="Mayor"),AND(M49="Media",Q49="Mayor"),AND(M49="Alta",Q49="Moderado"),AND(M49="Alta",Q49="Mayor"),AND(M49="Muy Alta",Q49="Leve"),AND(M49="Muy Alta",Q49="Menor"),AND(M49="Muy Alta",Q49="Moderado"),AND(M49="Muy Alta",Q49="Mayor")),"Alto",IF(OR(AND(M49="Muy Baja",Q49="Catastrófico"),AND(M49="Baja",Q49="Catastrófico"),AND(M49="Media",Q49="Catastrófico"),AND(M49="Alta",Q49="Catastrófico"),AND(M49="Muy Alta",Q49="Catastrófico")),"Extremo",""))))</f>
        <v>Alto</v>
      </c>
      <c r="T49" s="160">
        <v>1</v>
      </c>
      <c r="U49" s="222" t="s">
        <v>716</v>
      </c>
      <c r="V49" s="178" t="str">
        <f t="shared" si="68"/>
        <v>Probabilidad</v>
      </c>
      <c r="W49" s="168" t="s">
        <v>12</v>
      </c>
      <c r="X49" s="168" t="s">
        <v>7</v>
      </c>
      <c r="Y49" s="150" t="str">
        <f t="shared" si="70"/>
        <v>40%</v>
      </c>
      <c r="Z49" s="169" t="s">
        <v>17</v>
      </c>
      <c r="AA49" s="170" t="s">
        <v>20</v>
      </c>
      <c r="AB49" s="171" t="s">
        <v>114</v>
      </c>
      <c r="AC49" s="145" t="s">
        <v>715</v>
      </c>
      <c r="AD49" s="164">
        <f t="shared" si="62"/>
        <v>0.6</v>
      </c>
      <c r="AE49" s="151" t="str">
        <f t="shared" si="63"/>
        <v>Media</v>
      </c>
      <c r="AF49" s="81">
        <f t="shared" si="64"/>
        <v>0.6</v>
      </c>
      <c r="AG49" s="82" t="str">
        <f t="shared" si="65"/>
        <v>Leve</v>
      </c>
      <c r="AH49" s="81">
        <f t="shared" si="66"/>
        <v>0.2</v>
      </c>
      <c r="AI49" s="83" t="str">
        <f t="shared" si="67"/>
        <v>Moderado</v>
      </c>
      <c r="AJ49" s="83" t="str">
        <f t="shared" si="53"/>
        <v>Moderado</v>
      </c>
      <c r="AK49" s="125" t="s">
        <v>30</v>
      </c>
      <c r="AL49" s="140"/>
      <c r="AM49" s="140"/>
      <c r="AN49" s="84"/>
      <c r="AO49" s="84"/>
      <c r="AP49" s="140"/>
      <c r="AQ49" s="142"/>
    </row>
    <row r="50" spans="2:43" ht="116.25" customHeight="1" x14ac:dyDescent="0.2">
      <c r="B50" s="425"/>
      <c r="C50" s="204" t="s">
        <v>316</v>
      </c>
      <c r="D50" s="143">
        <v>33</v>
      </c>
      <c r="E50" s="214" t="s">
        <v>325</v>
      </c>
      <c r="F50" s="200" t="s">
        <v>335</v>
      </c>
      <c r="G50" s="136" t="s">
        <v>593</v>
      </c>
      <c r="H50" s="143" t="s">
        <v>563</v>
      </c>
      <c r="I50" s="143" t="s">
        <v>684</v>
      </c>
      <c r="J50" s="222" t="s">
        <v>118</v>
      </c>
      <c r="K50" s="143" t="s">
        <v>624</v>
      </c>
      <c r="L50" s="217">
        <v>12</v>
      </c>
      <c r="M50" s="192" t="str">
        <f t="shared" ref="M50" si="71">IF(L50&lt;=0,"",IF(L50&lt;=2,"Muy Baja",IF(L50&lt;=24,"Baja",IF(L50&lt;=500,"Media",IF(L50&lt;=5000,"Alta","Muy Alta")))))</f>
        <v>Baja</v>
      </c>
      <c r="N50" s="197">
        <f t="shared" ref="N50" si="72">IF(M50="","",IF(M50="Muy Baja",0.2,IF(M50="Baja",0.4,IF(M50="Media",0.6,IF(M50="Alta",0.8,IF(M50="Muy Alta",1,))))))</f>
        <v>0.4</v>
      </c>
      <c r="O50" s="223" t="s">
        <v>143</v>
      </c>
      <c r="P50" s="153" t="s">
        <v>143</v>
      </c>
      <c r="Q50" s="196" t="str">
        <f>IF(OR(P50='Tabla Impacto'!$C$11,P50='Tabla Impacto'!$D$11),"Leve",IF(OR(P50='Tabla Impacto'!$C$12,P50='Tabla Impacto'!$D$12),"Menor",IF(OR(P50='Tabla Impacto'!$C$13,P50='Tabla Impacto'!$D$13),"Moderado",IF(OR(P50='Tabla Impacto'!$C$14,P50='Tabla Impacto'!$D$14),"Mayor",IF(OR(P50='Tabla Impacto'!$C$15,P50='Tabla Impacto'!$D$15),"Catastrófico","")))))</f>
        <v>Leve</v>
      </c>
      <c r="R50" s="153">
        <f t="shared" ref="R50" si="73">IF(Q50="","",IF(Q50="Leve",0.2,IF(Q50="Menor",0.4,IF(Q50="Moderado",0.6,IF(Q50="Mayor",0.8,IF(Q50="Catastrófico",1,))))))</f>
        <v>0.2</v>
      </c>
      <c r="S50" s="248" t="str">
        <f t="shared" ref="S50" si="74">IF(OR(AND(M50="Muy Baja",Q50="Leve"),AND(M50="Muy Baja",Q50="Menor"),AND(M50="Baja",Q50="Leve")),"Bajo",IF(OR(AND(M50="Muy baja",Q50="Moderado"),AND(M50="Baja",Q50="Menor"),AND(M50="Baja",Q50="Moderado"),AND(M50="Media",Q50="Leve"),AND(M50="Media",Q50="Menor"),AND(M50="Media",Q50="Moderado"),AND(M50="Alta",Q50="Leve"),AND(M50="Alta",Q50="Menor")),"Moderado",IF(OR(AND(M50="Muy Baja",Q50="Mayor"),AND(M50="Baja",Q50="Mayor"),AND(M50="Media",Q50="Mayor"),AND(M50="Alta",Q50="Moderado"),AND(M50="Alta",Q50="Mayor"),AND(M50="Muy Alta",Q50="Leve"),AND(M50="Muy Alta",Q50="Menor"),AND(M50="Muy Alta",Q50="Moderado"),AND(M50="Muy Alta",Q50="Mayor")),"Alto",IF(OR(AND(M50="Muy Baja",Q50="Catastrófico"),AND(M50="Baja",Q50="Catastrófico"),AND(M50="Media",Q50="Catastrófico"),AND(M50="Alta",Q50="Catastrófico"),AND(M50="Muy Alta",Q50="Catastrófico")),"Extremo",""))))</f>
        <v>Bajo</v>
      </c>
      <c r="T50" s="160">
        <v>1</v>
      </c>
      <c r="U50" s="222" t="s">
        <v>372</v>
      </c>
      <c r="V50" s="178" t="str">
        <f t="shared" si="68"/>
        <v>Probabilidad</v>
      </c>
      <c r="W50" s="168" t="s">
        <v>12</v>
      </c>
      <c r="X50" s="168" t="s">
        <v>7</v>
      </c>
      <c r="Y50" s="150" t="str">
        <f t="shared" si="70"/>
        <v>40%</v>
      </c>
      <c r="Z50" s="169" t="s">
        <v>17</v>
      </c>
      <c r="AA50" s="170" t="s">
        <v>20</v>
      </c>
      <c r="AB50" s="171" t="s">
        <v>114</v>
      </c>
      <c r="AC50" s="145" t="s">
        <v>373</v>
      </c>
      <c r="AD50" s="164">
        <f t="shared" si="62"/>
        <v>0.24</v>
      </c>
      <c r="AE50" s="151" t="str">
        <f t="shared" si="63"/>
        <v>Baja</v>
      </c>
      <c r="AF50" s="81">
        <f t="shared" si="64"/>
        <v>0.24</v>
      </c>
      <c r="AG50" s="82" t="str">
        <f t="shared" si="65"/>
        <v>Leve</v>
      </c>
      <c r="AH50" s="81">
        <f t="shared" si="66"/>
        <v>0.2</v>
      </c>
      <c r="AI50" s="83" t="str">
        <f t="shared" si="67"/>
        <v>Bajo</v>
      </c>
      <c r="AJ50" s="83" t="str">
        <f t="shared" si="53"/>
        <v>Bajo</v>
      </c>
      <c r="AK50" s="285" t="s">
        <v>29</v>
      </c>
      <c r="AL50" s="140"/>
      <c r="AM50" s="140"/>
      <c r="AN50" s="84"/>
      <c r="AO50" s="84"/>
      <c r="AP50" s="140"/>
      <c r="AQ50" s="142"/>
    </row>
    <row r="51" spans="2:43" ht="84" customHeight="1" x14ac:dyDescent="0.2">
      <c r="B51" s="425"/>
      <c r="C51" s="475" t="s">
        <v>316</v>
      </c>
      <c r="D51" s="393">
        <v>34</v>
      </c>
      <c r="E51" s="480" t="s">
        <v>326</v>
      </c>
      <c r="F51" s="472" t="s">
        <v>336</v>
      </c>
      <c r="G51" s="425" t="s">
        <v>594</v>
      </c>
      <c r="H51" s="393" t="s">
        <v>563</v>
      </c>
      <c r="I51" s="393" t="s">
        <v>684</v>
      </c>
      <c r="J51" s="469" t="s">
        <v>118</v>
      </c>
      <c r="K51" s="393" t="s">
        <v>624</v>
      </c>
      <c r="L51" s="470">
        <v>7950</v>
      </c>
      <c r="M51" s="395" t="str">
        <f t="shared" ref="M51" si="75">IF(L51&lt;=0,"",IF(L51&lt;=2,"Muy Baja",IF(L51&lt;=24,"Baja",IF(L51&lt;=500,"Media",IF(L51&lt;=5000,"Alta","Muy Alta")))))</f>
        <v>Muy Alta</v>
      </c>
      <c r="N51" s="482">
        <f t="shared" ref="N51" si="76">IF(M51="","",IF(M51="Muy Baja",0.2,IF(M51="Baja",0.4,IF(M51="Media",0.6,IF(M51="Alta",0.8,IF(M51="Muy Alta",1,))))))</f>
        <v>1</v>
      </c>
      <c r="O51" s="223" t="s">
        <v>143</v>
      </c>
      <c r="P51" s="420" t="s">
        <v>143</v>
      </c>
      <c r="Q51" s="460" t="str">
        <f>IF(OR(P51='Tabla Impacto'!$C$11,P51='Tabla Impacto'!$D$11),"Leve",IF(OR(P51='Tabla Impacto'!$C$12,P51='Tabla Impacto'!$D$12),"Menor",IF(OR(P51='Tabla Impacto'!$C$13,P51='Tabla Impacto'!$D$13),"Moderado",IF(OR(P51='Tabla Impacto'!$C$14,P51='Tabla Impacto'!$D$14),"Mayor",IF(OR(P51='Tabla Impacto'!$C$15,P51='Tabla Impacto'!$D$15),"Catastrófico","")))))</f>
        <v>Leve</v>
      </c>
      <c r="R51" s="420">
        <f t="shared" ref="R51" si="77">IF(Q51="","",IF(Q51="Leve",0.2,IF(Q51="Menor",0.4,IF(Q51="Moderado",0.6,IF(Q51="Mayor",0.8,IF(Q51="Catastrófico",1,))))))</f>
        <v>0.2</v>
      </c>
      <c r="S51" s="462" t="str">
        <f t="shared" ref="S51" si="78">IF(OR(AND(M51="Muy Baja",Q51="Leve"),AND(M51="Muy Baja",Q51="Menor"),AND(M51="Baja",Q51="Leve")),"Bajo",IF(OR(AND(M51="Muy baja",Q51="Moderado"),AND(M51="Baja",Q51="Menor"),AND(M51="Baja",Q51="Moderado"),AND(M51="Media",Q51="Leve"),AND(M51="Media",Q51="Menor"),AND(M51="Media",Q51="Moderado"),AND(M51="Alta",Q51="Leve"),AND(M51="Alta",Q51="Menor")),"Moderado",IF(OR(AND(M51="Muy Baja",Q51="Mayor"),AND(M51="Baja",Q51="Mayor"),AND(M51="Media",Q51="Mayor"),AND(M51="Alta",Q51="Moderado"),AND(M51="Alta",Q51="Mayor"),AND(M51="Muy Alta",Q51="Leve"),AND(M51="Muy Alta",Q51="Menor"),AND(M51="Muy Alta",Q51="Moderado"),AND(M51="Muy Alta",Q51="Mayor")),"Alto",IF(OR(AND(M51="Muy Baja",Q51="Catastrófico"),AND(M51="Baja",Q51="Catastrófico"),AND(M51="Media",Q51="Catastrófico"),AND(M51="Alta",Q51="Catastrófico"),AND(M51="Muy Alta",Q51="Catastrófico")),"Extremo",""))))</f>
        <v>Alto</v>
      </c>
      <c r="T51" s="160">
        <v>1</v>
      </c>
      <c r="U51" s="222" t="s">
        <v>374</v>
      </c>
      <c r="V51" s="178" t="str">
        <f t="shared" ref="V51:V52" si="79">IF(OR(W51="Preventivo",W51="Detectivo"),"Probabilidad",IF(W51="Correctivo","Impacto",""))</f>
        <v>Probabilidad</v>
      </c>
      <c r="W51" s="168" t="s">
        <v>12</v>
      </c>
      <c r="X51" s="168" t="s">
        <v>7</v>
      </c>
      <c r="Y51" s="150" t="str">
        <f t="shared" si="70"/>
        <v>40%</v>
      </c>
      <c r="Z51" s="169" t="s">
        <v>17</v>
      </c>
      <c r="AA51" s="170" t="s">
        <v>20</v>
      </c>
      <c r="AB51" s="171" t="s">
        <v>114</v>
      </c>
      <c r="AC51" s="145" t="s">
        <v>717</v>
      </c>
      <c r="AD51" s="164">
        <f t="shared" si="62"/>
        <v>0.6</v>
      </c>
      <c r="AE51" s="151" t="str">
        <f t="shared" si="63"/>
        <v>Media</v>
      </c>
      <c r="AF51" s="81">
        <f t="shared" si="64"/>
        <v>0.6</v>
      </c>
      <c r="AG51" s="82" t="str">
        <f t="shared" si="65"/>
        <v>Leve</v>
      </c>
      <c r="AH51" s="81">
        <f t="shared" si="66"/>
        <v>0.2</v>
      </c>
      <c r="AI51" s="83" t="str">
        <f t="shared" si="67"/>
        <v>Moderado</v>
      </c>
      <c r="AJ51" s="436" t="str">
        <f t="shared" ref="AJ51" si="80">$AI$52</f>
        <v>Bajo</v>
      </c>
      <c r="AK51" s="401" t="s">
        <v>29</v>
      </c>
      <c r="AL51" s="140"/>
      <c r="AM51" s="183"/>
      <c r="AN51" s="181"/>
      <c r="AO51" s="84"/>
      <c r="AP51" s="182"/>
      <c r="AQ51" s="142"/>
    </row>
    <row r="52" spans="2:43" ht="90.75" customHeight="1" x14ac:dyDescent="0.2">
      <c r="B52" s="425"/>
      <c r="C52" s="474"/>
      <c r="D52" s="393"/>
      <c r="E52" s="481"/>
      <c r="F52" s="473"/>
      <c r="G52" s="425"/>
      <c r="H52" s="393"/>
      <c r="I52" s="393"/>
      <c r="J52" s="469"/>
      <c r="K52" s="393"/>
      <c r="L52" s="471"/>
      <c r="M52" s="395"/>
      <c r="N52" s="482"/>
      <c r="O52" s="223" t="s">
        <v>143</v>
      </c>
      <c r="P52" s="420"/>
      <c r="Q52" s="460"/>
      <c r="R52" s="420"/>
      <c r="S52" s="462"/>
      <c r="T52" s="160">
        <v>2</v>
      </c>
      <c r="U52" s="222" t="s">
        <v>375</v>
      </c>
      <c r="V52" s="178" t="str">
        <f t="shared" si="79"/>
        <v>Probabilidad</v>
      </c>
      <c r="W52" s="168" t="s">
        <v>12</v>
      </c>
      <c r="X52" s="168" t="s">
        <v>7</v>
      </c>
      <c r="Y52" s="150" t="str">
        <f t="shared" si="70"/>
        <v>40%</v>
      </c>
      <c r="Z52" s="169" t="s">
        <v>17</v>
      </c>
      <c r="AA52" s="170" t="s">
        <v>20</v>
      </c>
      <c r="AB52" s="171" t="s">
        <v>114</v>
      </c>
      <c r="AC52" s="145" t="s">
        <v>376</v>
      </c>
      <c r="AD52" s="164">
        <f>IFERROR(IF(AND(V51="Probabilidad",V52="Probabilidad"),(AF51-(+AF51*Y52)),IF(V52="Probabilidad",(N51-(+N51*Y52)),IF(V52="Impacto",AF51,""))),"")</f>
        <v>0.36</v>
      </c>
      <c r="AE52" s="151" t="str">
        <f t="shared" ref="AE52" si="81">IFERROR(IF(AD52="","",IF(AD52&lt;=0.2,"Muy Baja",IF(AD52&lt;=0.4,"Baja",IF(AD52&lt;=0.6,"Media",IF(AD52&lt;=0.8,"Alta","Muy Alta"))))),"")</f>
        <v>Baja</v>
      </c>
      <c r="AF52" s="81">
        <f t="shared" ref="AF52" si="82">+AD52</f>
        <v>0.36</v>
      </c>
      <c r="AG52" s="82" t="str">
        <f t="shared" ref="AG52" si="83">IFERROR(IF(AH52="","",IF(AH52&lt;=0.2,"Leve",IF(AH52&lt;=0.4,"Menor",IF(AH52&lt;=0.6,"Moderado",IF(AH52&lt;=0.8,"Mayor","Catastrófico"))))),"")</f>
        <v>Leve</v>
      </c>
      <c r="AH52" s="152">
        <f>IFERROR(IF(AND(V51="Impacto",V52="Impacto"),(AH51-(+AH51*Y52)),IF(V52="Impacto",($N$10-(+$N$10*Y52)),IF(V52="Probabilidad",AH51,""))),"")</f>
        <v>0.2</v>
      </c>
      <c r="AI52" s="83" t="str">
        <f t="shared" ref="AI52" si="84">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Bajo</v>
      </c>
      <c r="AJ52" s="438"/>
      <c r="AK52" s="402"/>
      <c r="AL52" s="140"/>
      <c r="AM52" s="183"/>
      <c r="AN52" s="181"/>
      <c r="AO52" s="84"/>
      <c r="AP52" s="182"/>
      <c r="AQ52" s="142"/>
    </row>
    <row r="53" spans="2:43" ht="89.25" customHeight="1" x14ac:dyDescent="0.2">
      <c r="B53" s="425"/>
      <c r="C53" s="204" t="s">
        <v>317</v>
      </c>
      <c r="D53" s="143">
        <v>35</v>
      </c>
      <c r="E53" s="341" t="s">
        <v>292</v>
      </c>
      <c r="F53" s="262" t="s">
        <v>294</v>
      </c>
      <c r="G53" s="202" t="s">
        <v>578</v>
      </c>
      <c r="H53" s="220" t="s">
        <v>563</v>
      </c>
      <c r="I53" s="220" t="s">
        <v>565</v>
      </c>
      <c r="J53" s="224" t="s">
        <v>123</v>
      </c>
      <c r="K53" s="220" t="s">
        <v>624</v>
      </c>
      <c r="L53" s="309">
        <v>12</v>
      </c>
      <c r="M53" s="215" t="str">
        <f t="shared" ref="M53" si="85">IF(L53&lt;=0,"",IF(L53&lt;=2,"Muy Baja",IF(L53&lt;=24,"Baja",IF(L53&lt;=500,"Media",IF(L53&lt;=5000,"Alta","Muy Alta")))))</f>
        <v>Baja</v>
      </c>
      <c r="N53" s="235">
        <f t="shared" ref="N53" si="86">IF(M53="","",IF(M53="Muy Baja",0.2,IF(M53="Baja",0.4,IF(M53="Media",0.6,IF(M53="Alta",0.8,IF(M53="Muy Alta",1,))))))</f>
        <v>0.4</v>
      </c>
      <c r="O53" s="223" t="s">
        <v>143</v>
      </c>
      <c r="P53" s="257" t="s">
        <v>143</v>
      </c>
      <c r="Q53" s="196" t="str">
        <f>IF(OR(P53='Tabla Impacto'!$C$11,P53='Tabla Impacto'!$D$11),"Leve",IF(OR(P53='Tabla Impacto'!$C$12,P53='Tabla Impacto'!$D$12),"Menor",IF(OR(P53='Tabla Impacto'!$C$13,P53='Tabla Impacto'!$D$13),"Moderado",IF(OR(P53='Tabla Impacto'!$C$14,P53='Tabla Impacto'!$D$14),"Mayor",IF(OR(P53='Tabla Impacto'!$C$15,P53='Tabla Impacto'!$D$15),"Catastrófico","")))))</f>
        <v>Leve</v>
      </c>
      <c r="R53" s="153">
        <f t="shared" ref="R53" si="87">IF(Q53="","",IF(Q53="Leve",0.2,IF(Q53="Menor",0.4,IF(Q53="Moderado",0.6,IF(Q53="Mayor",0.8,IF(Q53="Catastrófico",1,))))))</f>
        <v>0.2</v>
      </c>
      <c r="S53" s="248" t="str">
        <f t="shared" ref="S53" si="88">IF(OR(AND(M53="Muy Baja",Q53="Leve"),AND(M53="Muy Baja",Q53="Menor"),AND(M53="Baja",Q53="Leve")),"Bajo",IF(OR(AND(M53="Muy baja",Q53="Moderado"),AND(M53="Baja",Q53="Menor"),AND(M53="Baja",Q53="Moderado"),AND(M53="Media",Q53="Leve"),AND(M53="Media",Q53="Menor"),AND(M53="Media",Q53="Moderado"),AND(M53="Alta",Q53="Leve"),AND(M53="Alta",Q53="Menor")),"Moderado",IF(OR(AND(M53="Muy Baja",Q53="Mayor"),AND(M53="Baja",Q53="Mayor"),AND(M53="Media",Q53="Mayor"),AND(M53="Alta",Q53="Moderado"),AND(M53="Alta",Q53="Mayor"),AND(M53="Muy Alta",Q53="Leve"),AND(M53="Muy Alta",Q53="Menor"),AND(M53="Muy Alta",Q53="Moderado"),AND(M53="Muy Alta",Q53="Mayor")),"Alto",IF(OR(AND(M53="Muy Baja",Q53="Catastrófico"),AND(M53="Baja",Q53="Catastrófico"),AND(M53="Media",Q53="Catastrófico"),AND(M53="Alta",Q53="Catastrófico"),AND(M53="Muy Alta",Q53="Catastrófico")),"Extremo",""))))</f>
        <v>Bajo</v>
      </c>
      <c r="T53" s="160">
        <v>1</v>
      </c>
      <c r="U53" s="222" t="s">
        <v>377</v>
      </c>
      <c r="V53" s="178" t="str">
        <f t="shared" ref="V53" si="89">IF(OR(W53="Preventivo",W53="Detectivo"),"Probabilidad",IF(W53="Correctivo","Impacto",""))</f>
        <v>Probabilidad</v>
      </c>
      <c r="W53" s="168" t="s">
        <v>12</v>
      </c>
      <c r="X53" s="168" t="s">
        <v>7</v>
      </c>
      <c r="Y53" s="150" t="str">
        <f t="shared" si="70"/>
        <v>40%</v>
      </c>
      <c r="Z53" s="169" t="s">
        <v>17</v>
      </c>
      <c r="AA53" s="170" t="s">
        <v>20</v>
      </c>
      <c r="AB53" s="171" t="s">
        <v>114</v>
      </c>
      <c r="AC53" s="145" t="s">
        <v>378</v>
      </c>
      <c r="AD53" s="164">
        <f>IFERROR(IF(V53="Probabilidad",(N53-(+N53*Y53)),IF(V53="Impacto",N53,"")),"")</f>
        <v>0.24</v>
      </c>
      <c r="AE53" s="151" t="str">
        <f>IFERROR(IF(AD53="","",IF(AD53&lt;=0.2,"Muy Baja",IF(AD53&lt;=0.4,"Baja",IF(AD53&lt;=0.6,"Media",IF(AD53&lt;=0.8,"Alta","Muy Alta"))))),"")</f>
        <v>Baja</v>
      </c>
      <c r="AF53" s="81">
        <f>+AD53</f>
        <v>0.24</v>
      </c>
      <c r="AG53" s="82" t="str">
        <f>IFERROR(IF(AH53="","",IF(AH53&lt;=0.2,"Leve",IF(AH53&lt;=0.4,"Menor",IF(AH53&lt;=0.6,"Moderado",IF(AH53&lt;=0.8,"Mayor","Catastrófico"))))),"")</f>
        <v>Leve</v>
      </c>
      <c r="AH53" s="81">
        <f>IFERROR(IF(V53="Impacto",(R53-(+R53*Y53)),IF(V53="Probabilidad",R53,"")),"")</f>
        <v>0.2</v>
      </c>
      <c r="AI53" s="83" t="str">
        <f>IFERROR(IF(OR(AND(AE53="Muy Baja",AG53="Leve"),AND(AE53="Muy Baja",AG53="Menor"),AND(AE53="Baja",AG53="Leve")),"Bajo",IF(OR(AND(AE53="Muy baja",AG53="Moderado"),AND(AE53="Baja",AG53="Menor"),AND(AE53="Baja",AG53="Moderado"),AND(AE53="Media",AG53="Leve"),AND(AE53="Media",AG53="Menor"),AND(AE53="Media",AG53="Moderado"),AND(AE53="Alta",AG53="Leve"),AND(AE53="Alta",AG53="Menor")),"Moderado",IF(OR(AND(AE53="Muy Baja",AG53="Mayor"),AND(AE53="Baja",AG53="Mayor"),AND(AE53="Media",AG53="Mayor"),AND(AE53="Alta",AG53="Moderado"),AND(AE53="Alta",AG53="Mayor"),AND(AE53="Muy Alta",AG53="Leve"),AND(AE53="Muy Alta",AG53="Menor"),AND(AE53="Muy Alta",AG53="Moderado"),AND(AE53="Muy Alta",AG53="Mayor")),"Alto",IF(OR(AND(AE53="Muy Baja",AG53="Catastrófico"),AND(AE53="Baja",AG53="Catastrófico"),AND(AE53="Media",AG53="Catastrófico"),AND(AE53="Alta",AG53="Catastrófico"),AND(AE53="Muy Alta",AG53="Catastrófico")),"Extremo","")))),"")</f>
        <v>Bajo</v>
      </c>
      <c r="AJ53" s="83" t="str">
        <f t="shared" si="53"/>
        <v>Bajo</v>
      </c>
      <c r="AK53" s="288" t="s">
        <v>29</v>
      </c>
      <c r="AL53" s="140" t="s">
        <v>379</v>
      </c>
      <c r="AM53" s="140" t="s">
        <v>380</v>
      </c>
      <c r="AN53" s="239" t="s">
        <v>627</v>
      </c>
      <c r="AO53" s="84" t="s">
        <v>407</v>
      </c>
      <c r="AP53" s="145" t="s">
        <v>378</v>
      </c>
      <c r="AQ53" s="142" t="s">
        <v>38</v>
      </c>
    </row>
    <row r="54" spans="2:43" ht="165.75" x14ac:dyDescent="0.2">
      <c r="B54" s="425" t="s">
        <v>383</v>
      </c>
      <c r="C54" s="428" t="s">
        <v>383</v>
      </c>
      <c r="D54" s="143">
        <v>36</v>
      </c>
      <c r="E54" s="212" t="s">
        <v>381</v>
      </c>
      <c r="F54" s="140" t="s">
        <v>750</v>
      </c>
      <c r="G54" s="136" t="s">
        <v>595</v>
      </c>
      <c r="H54" s="143" t="s">
        <v>563</v>
      </c>
      <c r="I54" s="143" t="s">
        <v>565</v>
      </c>
      <c r="J54" s="140" t="s">
        <v>118</v>
      </c>
      <c r="K54" s="143" t="s">
        <v>624</v>
      </c>
      <c r="L54" s="142">
        <v>1</v>
      </c>
      <c r="M54" s="192" t="str">
        <f>IF(L54&lt;=0,"",IF(L54&lt;=2,"Muy Baja",IF(L54&lt;=24,"Baja",IF(L54&lt;=500,"Media",IF(L54&lt;=5000,"Alta","Muy Alta")))))</f>
        <v>Muy Baja</v>
      </c>
      <c r="N54" s="193">
        <f>IF(M54="","",IF(M54="Muy Baja",0.2,IF(M54="Baja",0.4,IF(M54="Media",0.6,IF(M54="Alta",0.8,IF(M54="Muy Alta",1,))))))</f>
        <v>0.2</v>
      </c>
      <c r="O54" s="194" t="s">
        <v>143</v>
      </c>
      <c r="P54" s="193" t="s">
        <v>143</v>
      </c>
      <c r="Q54" s="196" t="str">
        <f>IF(OR(P54='Tabla Impacto'!$C$11,P54='Tabla Impacto'!$D$11),"Leve",IF(OR(P54='Tabla Impacto'!$C$12,P54='Tabla Impacto'!$D$12),"Menor",IF(OR(P54='Tabla Impacto'!$C$13,P54='Tabla Impacto'!$D$13),"Moderado",IF(OR(P54='Tabla Impacto'!$C$14,P54='Tabla Impacto'!$D$14),"Mayor",IF(OR(P54='Tabla Impacto'!$C$15,P54='Tabla Impacto'!$D$15),"Catastrófico","")))))</f>
        <v>Leve</v>
      </c>
      <c r="R54" s="189">
        <f>IF(Q54="","",IF(Q54="Leve",0.2,IF(Q54="Menor",0.4,IF(Q54="Moderado",0.6,IF(Q54="Mayor",0.8,IF(Q54="Catastrófico",1,))))))</f>
        <v>0.2</v>
      </c>
      <c r="S54" s="247" t="str">
        <f>IF(OR(AND(M54="Muy Baja",Q54="Leve"),AND(M54="Muy Baja",Q54="Menor"),AND(M54="Baja",Q54="Leve")),"Bajo",IF(OR(AND(M54="Muy baja",Q54="Moderado"),AND(M54="Baja",Q54="Menor"),AND(M54="Baja",Q54="Moderado"),AND(M54="Media",Q54="Leve"),AND(M54="Media",Q54="Menor"),AND(M54="Media",Q54="Moderado"),AND(M54="Alta",Q54="Leve"),AND(M54="Alta",Q54="Menor")),"Moderado",IF(OR(AND(M54="Muy Baja",Q54="Mayor"),AND(M54="Baja",Q54="Mayor"),AND(M54="Media",Q54="Mayor"),AND(M54="Alta",Q54="Moderado"),AND(M54="Alta",Q54="Mayor"),AND(M54="Muy Alta",Q54="Leve"),AND(M54="Muy Alta",Q54="Menor"),AND(M54="Muy Alta",Q54="Moderado"),AND(M54="Muy Alta",Q54="Mayor")),"Alto",IF(OR(AND(M54="Muy Baja",Q54="Catastrófico"),AND(M54="Baja",Q54="Catastrófico"),AND(M54="Media",Q54="Catastrófico"),AND(M54="Alta",Q54="Catastrófico"),AND(M54="Muy Alta",Q54="Catastrófico")),"Extremo",""))))</f>
        <v>Bajo</v>
      </c>
      <c r="T54" s="141">
        <v>1</v>
      </c>
      <c r="U54" s="144" t="s">
        <v>385</v>
      </c>
      <c r="V54" s="146" t="str">
        <f t="shared" ref="V54:V61" si="90">IF(OR(W54="Preventivo",W54="Detectivo"),"Probabilidad",IF(W54="Correctivo","Impacto",""))</f>
        <v>Probabilidad</v>
      </c>
      <c r="W54" s="147" t="s">
        <v>12</v>
      </c>
      <c r="X54" s="147" t="s">
        <v>7</v>
      </c>
      <c r="Y54" s="148" t="str">
        <f t="shared" si="70"/>
        <v>40%</v>
      </c>
      <c r="Z54" s="161" t="s">
        <v>17</v>
      </c>
      <c r="AA54" s="162" t="s">
        <v>20</v>
      </c>
      <c r="AB54" s="163" t="s">
        <v>114</v>
      </c>
      <c r="AC54" s="145" t="s">
        <v>386</v>
      </c>
      <c r="AD54" s="164">
        <f>IFERROR(IF(V54="Probabilidad",(N54-(+N54*Y54)),IF(V54="Impacto",N54,"")),"")</f>
        <v>0.12</v>
      </c>
      <c r="AE54" s="165" t="str">
        <f>IFERROR(IF(AD54="","",IF(AD54&lt;=0.2,"Muy Baja",IF(AD54&lt;=0.4,"Baja",IF(AD54&lt;=0.6,"Media",IF(AD54&lt;=0.8,"Alta","Muy Alta"))))),"")</f>
        <v>Muy Baja</v>
      </c>
      <c r="AF54" s="148">
        <f>+AD54</f>
        <v>0.12</v>
      </c>
      <c r="AG54" s="166" t="str">
        <f>IFERROR(IF(AH54="","",IF(AH54&lt;=0.2,"Leve",IF(AH54&lt;=0.4,"Menor",IF(AH54&lt;=0.6,"Moderado",IF(AH54&lt;=0.8,"Mayor","Catastrófico"))))),"")</f>
        <v>Leve</v>
      </c>
      <c r="AH54" s="148">
        <f>IFERROR(IF(V54="Impacto",(R54-(+R54*Y54)),IF(V54="Probabilidad",R54,"")),"")</f>
        <v>0.2</v>
      </c>
      <c r="AI54" s="83" t="str">
        <f>IFERROR(IF(OR(AND(AE54="Muy Baja",AG54="Leve"),AND(AE54="Muy Baja",AG54="Menor"),AND(AE54="Baja",AG54="Leve")),"Bajo",IF(OR(AND(AE54="Muy baja",AG54="Moderado"),AND(AE54="Baja",AG54="Menor"),AND(AE54="Baja",AG54="Moderado"),AND(AE54="Media",AG54="Leve"),AND(AE54="Media",AG54="Menor"),AND(AE54="Media",AG54="Moderado"),AND(AE54="Alta",AG54="Leve"),AND(AE54="Alta",AG54="Menor")),"Moderado",IF(OR(AND(AE54="Muy Baja",AG54="Mayor"),AND(AE54="Baja",AG54="Mayor"),AND(AE54="Media",AG54="Mayor"),AND(AE54="Alta",AG54="Moderado"),AND(AE54="Alta",AG54="Mayor"),AND(AE54="Muy Alta",AG54="Leve"),AND(AE54="Muy Alta",AG54="Menor"),AND(AE54="Muy Alta",AG54="Moderado"),AND(AE54="Muy Alta",AG54="Mayor")),"Alto",IF(OR(AND(AE54="Muy Baja",AG54="Catastrófico"),AND(AE54="Baja",AG54="Catastrófico"),AND(AE54="Media",AG54="Catastrófico"),AND(AE54="Alta",AG54="Catastrófico"),AND(AE54="Muy Alta",AG54="Catastrófico")),"Extremo","")))),"")</f>
        <v>Bajo</v>
      </c>
      <c r="AJ54" s="83" t="str">
        <f>$AI$54</f>
        <v>Bajo</v>
      </c>
      <c r="AK54" s="125" t="s">
        <v>29</v>
      </c>
      <c r="AL54" s="140"/>
      <c r="AM54" s="140"/>
      <c r="AN54" s="181"/>
      <c r="AO54" s="181"/>
      <c r="AP54" s="144"/>
      <c r="AQ54" s="183"/>
    </row>
    <row r="55" spans="2:43" ht="161.25" customHeight="1" x14ac:dyDescent="0.2">
      <c r="B55" s="425"/>
      <c r="C55" s="428"/>
      <c r="D55" s="143">
        <v>37</v>
      </c>
      <c r="E55" s="342" t="s">
        <v>382</v>
      </c>
      <c r="F55" s="140" t="s">
        <v>384</v>
      </c>
      <c r="G55" s="136" t="s">
        <v>596</v>
      </c>
      <c r="H55" s="143" t="s">
        <v>563</v>
      </c>
      <c r="I55" s="143" t="s">
        <v>565</v>
      </c>
      <c r="J55" s="140" t="s">
        <v>118</v>
      </c>
      <c r="K55" s="143" t="s">
        <v>624</v>
      </c>
      <c r="L55" s="142">
        <v>365</v>
      </c>
      <c r="M55" s="192" t="str">
        <f>IF(L55&lt;=0,"",IF(L55&lt;=2,"Muy Baja",IF(L55&lt;=24,"Baja",IF(L55&lt;=500,"Media",IF(L55&lt;=5000,"Alta","Muy Alta")))))</f>
        <v>Media</v>
      </c>
      <c r="N55" s="193">
        <f>IF(M55="","",IF(M55="Muy Baja",0.2,IF(M55="Baja",0.4,IF(M55="Media",0.6,IF(M55="Alta",0.8,IF(M55="Muy Alta",1,))))))</f>
        <v>0.6</v>
      </c>
      <c r="O55" s="194" t="s">
        <v>145</v>
      </c>
      <c r="P55" s="193" t="s">
        <v>145</v>
      </c>
      <c r="Q55" s="196" t="str">
        <f>IF(OR(P55='Tabla Impacto'!$C$11,P55='Tabla Impacto'!$D$11),"Leve",IF(OR(P55='Tabla Impacto'!$C$12,P55='Tabla Impacto'!$D$12),"Menor",IF(OR(P55='Tabla Impacto'!$C$13,P55='Tabla Impacto'!$D$13),"Moderado",IF(OR(P55='Tabla Impacto'!$C$14,P55='Tabla Impacto'!$D$14),"Mayor",IF(OR(P55='Tabla Impacto'!$C$15,P55='Tabla Impacto'!$D$15),"Catastrófico","")))))</f>
        <v>Moderado</v>
      </c>
      <c r="R55" s="190">
        <f>IF(Q55="","",IF(Q55="Leve",0.2,IF(Q55="Menor",0.4,IF(Q55="Moderado",0.6,IF(Q55="Mayor",0.8,IF(Q55="Catastrófico",1,))))))</f>
        <v>0.6</v>
      </c>
      <c r="S55" s="252" t="str">
        <f>IF(OR(AND(M55="Muy Baja",Q55="Leve"),AND(M55="Muy Baja",Q55="Menor"),AND(M55="Baja",Q55="Leve")),"Bajo",IF(OR(AND(M55="Muy baja",Q55="Moderado"),AND(M55="Baja",Q55="Menor"),AND(M55="Baja",Q55="Moderado"),AND(M55="Media",Q55="Leve"),AND(M55="Media",Q55="Menor"),AND(M55="Media",Q55="Moderado"),AND(M55="Alta",Q55="Leve"),AND(M55="Alta",Q55="Menor")),"Moderado",IF(OR(AND(M55="Muy Baja",Q55="Mayor"),AND(M55="Baja",Q55="Mayor"),AND(M55="Media",Q55="Mayor"),AND(M55="Alta",Q55="Moderado"),AND(M55="Alta",Q55="Mayor"),AND(M55="Muy Alta",Q55="Leve"),AND(M55="Muy Alta",Q55="Menor"),AND(M55="Muy Alta",Q55="Moderado"),AND(M55="Muy Alta",Q55="Mayor")),"Alto",IF(OR(AND(M55="Muy Baja",Q55="Catastrófico"),AND(M55="Baja",Q55="Catastrófico"),AND(M55="Media",Q55="Catastrófico"),AND(M55="Alta",Q55="Catastrófico"),AND(M55="Muy Alta",Q55="Catastrófico")),"Extremo",""))))</f>
        <v>Moderado</v>
      </c>
      <c r="T55" s="143">
        <v>1</v>
      </c>
      <c r="U55" s="140" t="s">
        <v>719</v>
      </c>
      <c r="V55" s="149" t="str">
        <f t="shared" si="90"/>
        <v>Probabilidad</v>
      </c>
      <c r="W55" s="168" t="s">
        <v>12</v>
      </c>
      <c r="X55" s="168" t="s">
        <v>7</v>
      </c>
      <c r="Y55" s="150" t="str">
        <f t="shared" si="70"/>
        <v>40%</v>
      </c>
      <c r="Z55" s="169" t="s">
        <v>17</v>
      </c>
      <c r="AA55" s="170" t="s">
        <v>20</v>
      </c>
      <c r="AB55" s="171" t="s">
        <v>114</v>
      </c>
      <c r="AC55" s="145" t="s">
        <v>718</v>
      </c>
      <c r="AD55" s="164">
        <f>IFERROR(IF(V55="Probabilidad",(N55-(+N55*Y55)),IF(V55="Impacto",N55,"")),"")</f>
        <v>0.36</v>
      </c>
      <c r="AE55" s="151" t="str">
        <f>IFERROR(IF(AD55="","",IF(AD55&lt;=0.2,"Muy Baja",IF(AD55&lt;=0.4,"Baja",IF(AD55&lt;=0.6,"Media",IF(AD55&lt;=0.8,"Alta","Muy Alta"))))),"")</f>
        <v>Baja</v>
      </c>
      <c r="AF55" s="81">
        <f>+AD55</f>
        <v>0.36</v>
      </c>
      <c r="AG55" s="82" t="str">
        <f>IFERROR(IF(AH55="","",IF(AH55&lt;=0.2,"Leve",IF(AH55&lt;=0.4,"Menor",IF(AH55&lt;=0.6,"Moderado",IF(AH55&lt;=0.8,"Mayor","Catastrófico"))))),"")</f>
        <v>Moderado</v>
      </c>
      <c r="AH55" s="81">
        <f>IFERROR(IF(V55="Impacto",(R55-(+R55*Y55)),IF(V55="Probabilidad",R55,"")),"")</f>
        <v>0.6</v>
      </c>
      <c r="AI55" s="83" t="str">
        <f>IFERROR(IF(OR(AND(AE55="Muy Baja",AG55="Leve"),AND(AE55="Muy Baja",AG55="Menor"),AND(AE55="Baja",AG55="Leve")),"Bajo",IF(OR(AND(AE55="Muy baja",AG55="Moderado"),AND(AE55="Baja",AG55="Menor"),AND(AE55="Baja",AG55="Moderado"),AND(AE55="Media",AG55="Leve"),AND(AE55="Media",AG55="Menor"),AND(AE55="Media",AG55="Moderado"),AND(AE55="Alta",AG55="Leve"),AND(AE55="Alta",AG55="Menor")),"Moderado",IF(OR(AND(AE55="Muy Baja",AG55="Mayor"),AND(AE55="Baja",AG55="Mayor"),AND(AE55="Media",AG55="Mayor"),AND(AE55="Alta",AG55="Moderado"),AND(AE55="Alta",AG55="Mayor"),AND(AE55="Muy Alta",AG55="Leve"),AND(AE55="Muy Alta",AG55="Menor"),AND(AE55="Muy Alta",AG55="Moderado"),AND(AE55="Muy Alta",AG55="Mayor")),"Alto",IF(OR(AND(AE55="Muy Baja",AG55="Catastrófico"),AND(AE55="Baja",AG55="Catastrófico"),AND(AE55="Media",AG55="Catastrófico"),AND(AE55="Alta",AG55="Catastrófico"),AND(AE55="Muy Alta",AG55="Catastrófico")),"Extremo","")))),"")</f>
        <v>Moderado</v>
      </c>
      <c r="AJ55" s="83" t="str">
        <f>$AI$55</f>
        <v>Moderado</v>
      </c>
      <c r="AK55" s="234" t="s">
        <v>30</v>
      </c>
      <c r="AL55" s="140"/>
      <c r="AM55" s="144"/>
      <c r="AN55" s="181"/>
      <c r="AO55" s="181"/>
      <c r="AP55" s="140"/>
      <c r="AQ55" s="142"/>
    </row>
    <row r="56" spans="2:43" ht="128.25" customHeight="1" x14ac:dyDescent="0.2">
      <c r="B56" s="425" t="s">
        <v>387</v>
      </c>
      <c r="C56" s="423" t="s">
        <v>394</v>
      </c>
      <c r="D56" s="393">
        <v>38</v>
      </c>
      <c r="E56" s="455" t="s">
        <v>751</v>
      </c>
      <c r="F56" s="433" t="s">
        <v>390</v>
      </c>
      <c r="G56" s="390" t="s">
        <v>597</v>
      </c>
      <c r="H56" s="392" t="s">
        <v>563</v>
      </c>
      <c r="I56" s="392" t="s">
        <v>565</v>
      </c>
      <c r="J56" s="396" t="s">
        <v>393</v>
      </c>
      <c r="K56" s="392" t="s">
        <v>624</v>
      </c>
      <c r="L56" s="448">
        <v>365</v>
      </c>
      <c r="M56" s="417" t="str">
        <f>IF(L56&lt;=0,"",IF(L56&lt;=2,"Muy Baja",IF(L56&lt;=24,"Baja",IF(L56&lt;=500,"Media",IF(L56&lt;=5000,"Alta","Muy Alta")))))</f>
        <v>Media</v>
      </c>
      <c r="N56" s="410">
        <f>IF(M56="","",IF(M56="Muy Baja",0.2,IF(M56="Baja",0.4,IF(M56="Media",0.6,IF(M56="Alta",0.8,IF(M56="Muy Alta",1,))))))</f>
        <v>0.6</v>
      </c>
      <c r="O56" s="304" t="s">
        <v>143</v>
      </c>
      <c r="P56" s="466" t="s">
        <v>143</v>
      </c>
      <c r="Q56" s="460" t="str">
        <f>IF(OR(P56='Tabla Impacto'!$C$11,P56='Tabla Impacto'!$D$11),"Leve",IF(OR(P56='Tabla Impacto'!$C$12,P56='Tabla Impacto'!$D$12),"Menor",IF(OR(P56='Tabla Impacto'!$C$13,P56='Tabla Impacto'!$D$13),"Moderado",IF(OR(P56='Tabla Impacto'!$C$14,P56='Tabla Impacto'!$D$14),"Mayor",IF(OR(P56='Tabla Impacto'!$C$15,P56='Tabla Impacto'!$D$15),"Catastrófico","")))))</f>
        <v>Leve</v>
      </c>
      <c r="R56" s="410">
        <f>IF(Q56="","",IF(Q56="Leve",0.2,IF(Q56="Menor",0.4,IF(Q56="Moderado",0.6,IF(Q56="Mayor",0.8,IF(Q56="Catastrófico",1,))))))</f>
        <v>0.2</v>
      </c>
      <c r="S56" s="422" t="str">
        <f>IF(OR(AND(M56="Muy Baja",Q56="Leve"),AND(M56="Muy Baja",Q56="Menor"),AND(M56="Baja",Q56="Leve")),"Bajo",IF(OR(AND(M56="Muy baja",Q56="Moderado"),AND(M56="Baja",Q56="Menor"),AND(M56="Baja",Q56="Moderado"),AND(M56="Media",Q56="Leve"),AND(M56="Media",Q56="Menor"),AND(M56="Media",Q56="Moderado"),AND(M56="Alta",Q56="Leve"),AND(M56="Alta",Q56="Menor")),"Moderado",IF(OR(AND(M56="Muy Baja",Q56="Mayor"),AND(M56="Baja",Q56="Mayor"),AND(M56="Media",Q56="Mayor"),AND(M56="Alta",Q56="Moderado"),AND(M56="Alta",Q56="Mayor"),AND(M56="Muy Alta",Q56="Leve"),AND(M56="Muy Alta",Q56="Menor"),AND(M56="Muy Alta",Q56="Moderado"),AND(M56="Muy Alta",Q56="Mayor")),"Alto",IF(OR(AND(M56="Muy Baja",Q56="Catastrófico"),AND(M56="Baja",Q56="Catastrófico"),AND(M56="Media",Q56="Catastrófico"),AND(M56="Alta",Q56="Catastrófico"),AND(M56="Muy Alta",Q56="Catastrófico")),"Extremo",""))))</f>
        <v>Moderado</v>
      </c>
      <c r="T56" s="141">
        <v>1</v>
      </c>
      <c r="U56" s="144" t="s">
        <v>396</v>
      </c>
      <c r="V56" s="146" t="str">
        <f t="shared" si="90"/>
        <v>Probabilidad</v>
      </c>
      <c r="W56" s="147" t="s">
        <v>12</v>
      </c>
      <c r="X56" s="147" t="s">
        <v>7</v>
      </c>
      <c r="Y56" s="148" t="str">
        <f t="shared" si="70"/>
        <v>40%</v>
      </c>
      <c r="Z56" s="161" t="s">
        <v>17</v>
      </c>
      <c r="AA56" s="162" t="s">
        <v>21</v>
      </c>
      <c r="AB56" s="163" t="s">
        <v>114</v>
      </c>
      <c r="AC56" s="145" t="s">
        <v>397</v>
      </c>
      <c r="AD56" s="164">
        <f>IFERROR(IF(V56="Probabilidad",(N56-(+N56*Y56)),IF(V56="Impacto",N56,"")),"")</f>
        <v>0.36</v>
      </c>
      <c r="AE56" s="165" t="str">
        <f>IFERROR(IF(AD56="","",IF(AD56&lt;=0.2,"Muy Baja",IF(AD56&lt;=0.4,"Baja",IF(AD56&lt;=0.6,"Media",IF(AD56&lt;=0.8,"Alta","Muy Alta"))))),"")</f>
        <v>Baja</v>
      </c>
      <c r="AF56" s="148">
        <f>+AD56</f>
        <v>0.36</v>
      </c>
      <c r="AG56" s="166" t="str">
        <f>IFERROR(IF(AH56="","",IF(AH56&lt;=0.2,"Leve",IF(AH56&lt;=0.4,"Menor",IF(AH56&lt;=0.6,"Moderado",IF(AH56&lt;=0.8,"Mayor","Catastrófico"))))),"")</f>
        <v>Leve</v>
      </c>
      <c r="AH56" s="148">
        <f>IFERROR(IF(V56="Impacto",(R56-(+R56*Y56)),IF(V56="Probabilidad",R56,"")),"")</f>
        <v>0.2</v>
      </c>
      <c r="AI56" s="167" t="str">
        <f>IFERROR(IF(OR(AND(AE56="Muy Baja",AG56="Leve"),AND(AE56="Muy Baja",AG56="Menor"),AND(AE56="Baja",AG56="Leve")),"Bajo",IF(OR(AND(AE56="Muy baja",AG56="Moderado"),AND(AE56="Baja",AG56="Menor"),AND(AE56="Baja",AG56="Moderado"),AND(AE56="Media",AG56="Leve"),AND(AE56="Media",AG56="Menor"),AND(AE56="Media",AG56="Moderado"),AND(AE56="Alta",AG56="Leve"),AND(AE56="Alta",AG56="Menor")),"Moderado",IF(OR(AND(AE56="Muy Baja",AG56="Mayor"),AND(AE56="Baja",AG56="Mayor"),AND(AE56="Media",AG56="Mayor"),AND(AE56="Alta",AG56="Moderado"),AND(AE56="Alta",AG56="Mayor"),AND(AE56="Muy Alta",AG56="Leve"),AND(AE56="Muy Alta",AG56="Menor"),AND(AE56="Muy Alta",AG56="Moderado"),AND(AE56="Muy Alta",AG56="Mayor")),"Alto",IF(OR(AND(AE56="Muy Baja",AG56="Catastrófico"),AND(AE56="Baja",AG56="Catastrófico"),AND(AE56="Media",AG56="Catastrófico"),AND(AE56="Alta",AG56="Catastrófico"),AND(AE56="Muy Alta",AG56="Catastrófico")),"Extremo","")))),"")</f>
        <v>Bajo</v>
      </c>
      <c r="AJ56" s="411" t="str">
        <f t="shared" ref="AJ56" si="91">$AI$57</f>
        <v>Bajo</v>
      </c>
      <c r="AK56" s="467" t="s">
        <v>29</v>
      </c>
      <c r="AL56" s="450"/>
      <c r="AM56" s="450"/>
      <c r="AN56" s="468"/>
      <c r="AO56" s="468"/>
      <c r="AP56" s="450"/>
      <c r="AQ56" s="447"/>
    </row>
    <row r="57" spans="2:43" ht="162.75" customHeight="1" x14ac:dyDescent="0.2">
      <c r="B57" s="425"/>
      <c r="C57" s="474"/>
      <c r="D57" s="393"/>
      <c r="E57" s="455"/>
      <c r="F57" s="433"/>
      <c r="G57" s="425"/>
      <c r="H57" s="393"/>
      <c r="I57" s="393"/>
      <c r="J57" s="387"/>
      <c r="K57" s="393"/>
      <c r="L57" s="448"/>
      <c r="M57" s="417"/>
      <c r="N57" s="410"/>
      <c r="O57" s="223" t="s">
        <v>143</v>
      </c>
      <c r="P57" s="420"/>
      <c r="Q57" s="460"/>
      <c r="R57" s="410"/>
      <c r="S57" s="422"/>
      <c r="T57" s="143">
        <v>2</v>
      </c>
      <c r="U57" s="144" t="s">
        <v>398</v>
      </c>
      <c r="V57" s="146" t="str">
        <f t="shared" si="90"/>
        <v>Probabilidad</v>
      </c>
      <c r="W57" s="168" t="s">
        <v>12</v>
      </c>
      <c r="X57" s="168" t="s">
        <v>8</v>
      </c>
      <c r="Y57" s="150" t="str">
        <f t="shared" ref="Y57" si="92">IF(AND(W57="Preventivo",X57="Automático"),"50%",IF(AND(W57="Preventivo",X57="Manual"),"40%",IF(AND(W57="Detectivo",X57="Automático"),"40%",IF(AND(W57="Detectivo",X57="Manual"),"30%",IF(AND(W57="Correctivo",X57="Automático"),"35%",IF(AND(W57="Correctivo",X57="Manual"),"25%",""))))))</f>
        <v>50%</v>
      </c>
      <c r="Z57" s="169" t="s">
        <v>17</v>
      </c>
      <c r="AA57" s="170" t="s">
        <v>20</v>
      </c>
      <c r="AB57" s="171" t="s">
        <v>114</v>
      </c>
      <c r="AC57" s="145" t="s">
        <v>399</v>
      </c>
      <c r="AD57" s="164">
        <f>IFERROR(IF(AND(V56="Probabilidad",V57="Probabilidad"),(AF56-(+AF56*Y57)),IF(V57="Probabilidad",(N56-(+N56*Y57)),IF(V57="Impacto",AF56,""))),"")</f>
        <v>0.18</v>
      </c>
      <c r="AE57" s="151" t="str">
        <f t="shared" ref="AE57:AE61" si="93">IFERROR(IF(AD57="","",IF(AD57&lt;=0.2,"Muy Baja",IF(AD57&lt;=0.4,"Baja",IF(AD57&lt;=0.6,"Media",IF(AD57&lt;=0.8,"Alta","Muy Alta"))))),"")</f>
        <v>Muy Baja</v>
      </c>
      <c r="AF57" s="81">
        <f t="shared" ref="AF57" si="94">+AD57</f>
        <v>0.18</v>
      </c>
      <c r="AG57" s="82" t="str">
        <f t="shared" ref="AG57:AG61" si="95">IFERROR(IF(AH57="","",IF(AH57&lt;=0.2,"Leve",IF(AH57&lt;=0.4,"Menor",IF(AH57&lt;=0.6,"Moderado",IF(AH57&lt;=0.8,"Mayor","Catastrófico"))))),"")</f>
        <v>Leve</v>
      </c>
      <c r="AH57" s="152">
        <f>IFERROR(IF(AND(V56="Impacto",V57="Impacto"),(AH56-(+AH56*Y57)),IF(V57="Impacto",($N$10-(+$N$10*Y57)),IF(V57="Probabilidad",AH56,""))),"")</f>
        <v>0.2</v>
      </c>
      <c r="AI57" s="83" t="str">
        <f t="shared" ref="AI57" si="96">IFERROR(IF(OR(AND(AE57="Muy Baja",AG57="Leve"),AND(AE57="Muy Baja",AG57="Menor"),AND(AE57="Baja",AG57="Leve")),"Bajo",IF(OR(AND(AE57="Muy baja",AG57="Moderado"),AND(AE57="Baja",AG57="Menor"),AND(AE57="Baja",AG57="Moderado"),AND(AE57="Media",AG57="Leve"),AND(AE57="Media",AG57="Menor"),AND(AE57="Media",AG57="Moderado"),AND(AE57="Alta",AG57="Leve"),AND(AE57="Alta",AG57="Menor")),"Moderado",IF(OR(AND(AE57="Muy Baja",AG57="Mayor"),AND(AE57="Baja",AG57="Mayor"),AND(AE57="Media",AG57="Mayor"),AND(AE57="Alta",AG57="Moderado"),AND(AE57="Alta",AG57="Mayor"),AND(AE57="Muy Alta",AG57="Leve"),AND(AE57="Muy Alta",AG57="Menor"),AND(AE57="Muy Alta",AG57="Moderado"),AND(AE57="Muy Alta",AG57="Mayor")),"Alto",IF(OR(AND(AE57="Muy Baja",AG57="Catastrófico"),AND(AE57="Baja",AG57="Catastrófico"),AND(AE57="Media",AG57="Catastrófico"),AND(AE57="Alta",AG57="Catastrófico"),AND(AE57="Muy Alta",AG57="Catastrófico")),"Extremo","")))),"")</f>
        <v>Bajo</v>
      </c>
      <c r="AJ57" s="412"/>
      <c r="AK57" s="402"/>
      <c r="AL57" s="396"/>
      <c r="AM57" s="396"/>
      <c r="AN57" s="404"/>
      <c r="AO57" s="404"/>
      <c r="AP57" s="396"/>
      <c r="AQ57" s="400"/>
    </row>
    <row r="58" spans="2:43" ht="132" customHeight="1" x14ac:dyDescent="0.2">
      <c r="B58" s="425"/>
      <c r="C58" s="475" t="s">
        <v>394</v>
      </c>
      <c r="D58" s="393">
        <v>39</v>
      </c>
      <c r="E58" s="476" t="s">
        <v>388</v>
      </c>
      <c r="F58" s="450" t="s">
        <v>391</v>
      </c>
      <c r="G58" s="425" t="s">
        <v>598</v>
      </c>
      <c r="H58" s="393" t="s">
        <v>563</v>
      </c>
      <c r="I58" s="393" t="s">
        <v>565</v>
      </c>
      <c r="J58" s="387" t="s">
        <v>393</v>
      </c>
      <c r="K58" s="393" t="s">
        <v>624</v>
      </c>
      <c r="L58" s="447">
        <v>365</v>
      </c>
      <c r="M58" s="395" t="str">
        <f>IF(L58&lt;=0,"",IF(L58&lt;=2,"Muy Baja",IF(L58&lt;=24,"Baja",IF(L58&lt;=500,"Media",IF(L58&lt;=5000,"Alta","Muy Alta")))))</f>
        <v>Media</v>
      </c>
      <c r="N58" s="409">
        <f>IF(M58="","",IF(M58="Muy Baja",0.2,IF(M58="Baja",0.4,IF(M58="Media",0.6,IF(M58="Alta",0.8,IF(M58="Muy Alta",1,))))))</f>
        <v>0.6</v>
      </c>
      <c r="O58" s="223" t="s">
        <v>143</v>
      </c>
      <c r="P58" s="420" t="s">
        <v>143</v>
      </c>
      <c r="Q58" s="460" t="str">
        <f>IF(OR(P58='Tabla Impacto'!$C$11,P58='Tabla Impacto'!$D$11),"Leve",IF(OR(P58='Tabla Impacto'!$C$12,P58='Tabla Impacto'!$D$12),"Menor",IF(OR(P58='Tabla Impacto'!$C$13,P58='Tabla Impacto'!$D$13),"Moderado",IF(OR(P58='Tabla Impacto'!$C$14,P58='Tabla Impacto'!$D$14),"Mayor",IF(OR(P58='Tabla Impacto'!$C$15,P58='Tabla Impacto'!$D$15),"Catastrófico","")))))</f>
        <v>Leve</v>
      </c>
      <c r="R58" s="409">
        <f>IF(Q58="","",IF(Q58="Leve",0.2,IF(Q58="Menor",0.4,IF(Q58="Moderado",0.6,IF(Q58="Mayor",0.8,IF(Q58="Catastrófico",1,))))))</f>
        <v>0.2</v>
      </c>
      <c r="S58" s="421" t="str">
        <f>IF(OR(AND(M58="Muy Baja",Q58="Leve"),AND(M58="Muy Baja",Q58="Menor"),AND(M58="Baja",Q58="Leve")),"Bajo",IF(OR(AND(M58="Muy baja",Q58="Moderado"),AND(M58="Baja",Q58="Menor"),AND(M58="Baja",Q58="Moderado"),AND(M58="Media",Q58="Leve"),AND(M58="Media",Q58="Menor"),AND(M58="Media",Q58="Moderado"),AND(M58="Alta",Q58="Leve"),AND(M58="Alta",Q58="Menor")),"Moderado",IF(OR(AND(M58="Muy Baja",Q58="Mayor"),AND(M58="Baja",Q58="Mayor"),AND(M58="Media",Q58="Mayor"),AND(M58="Alta",Q58="Moderado"),AND(M58="Alta",Q58="Mayor"),AND(M58="Muy Alta",Q58="Leve"),AND(M58="Muy Alta",Q58="Menor"),AND(M58="Muy Alta",Q58="Moderado"),AND(M58="Muy Alta",Q58="Mayor")),"Alto",IF(OR(AND(M58="Muy Baja",Q58="Catastrófico"),AND(M58="Baja",Q58="Catastrófico"),AND(M58="Media",Q58="Catastrófico"),AND(M58="Alta",Q58="Catastrófico"),AND(M58="Muy Alta",Q58="Catastrófico")),"Extremo",""))))</f>
        <v>Moderado</v>
      </c>
      <c r="T58" s="143">
        <v>1</v>
      </c>
      <c r="U58" s="140" t="s">
        <v>400</v>
      </c>
      <c r="V58" s="149" t="str">
        <f t="shared" si="90"/>
        <v>Probabilidad</v>
      </c>
      <c r="W58" s="168" t="s">
        <v>12</v>
      </c>
      <c r="X58" s="168" t="s">
        <v>7</v>
      </c>
      <c r="Y58" s="150" t="str">
        <f>IF(AND(W58="Preventivo",X58="Automático"),"50%",IF(AND(W58="Preventivo",X58="Manual"),"40%",IF(AND(W58="Detectivo",X58="Automático"),"40%",IF(AND(W58="Detectivo",X58="Manual"),"30%",IF(AND(W58="Correctivo",X58="Automático"),"35%",IF(AND(W58="Correctivo",X58="Manual"),"25%",""))))))</f>
        <v>40%</v>
      </c>
      <c r="Z58" s="169" t="s">
        <v>17</v>
      </c>
      <c r="AA58" s="170" t="s">
        <v>20</v>
      </c>
      <c r="AB58" s="171" t="s">
        <v>114</v>
      </c>
      <c r="AC58" s="145" t="s">
        <v>401</v>
      </c>
      <c r="AD58" s="164">
        <f>IFERROR(IF(V58="Probabilidad",(N58-(+N58*Y58)),IF(V58="Impacto",N58,"")),"")</f>
        <v>0.36</v>
      </c>
      <c r="AE58" s="151" t="str">
        <f>IFERROR(IF(AD58="","",IF(AD58&lt;=0.2,"Muy Baja",IF(AD58&lt;=0.4,"Baja",IF(AD58&lt;=0.6,"Media",IF(AD58&lt;=0.8,"Alta","Muy Alta"))))),"")</f>
        <v>Baja</v>
      </c>
      <c r="AF58" s="81">
        <f>+AD58</f>
        <v>0.36</v>
      </c>
      <c r="AG58" s="82" t="str">
        <f>IFERROR(IF(AH58="","",IF(AH58&lt;=0.2,"Leve",IF(AH58&lt;=0.4,"Menor",IF(AH58&lt;=0.6,"Moderado",IF(AH58&lt;=0.8,"Mayor","Catastrófico"))))),"")</f>
        <v>Leve</v>
      </c>
      <c r="AH58" s="81">
        <f>IFERROR(IF(V58="Impacto",(R58-(+R58*Y58)),IF(V58="Probabilidad",R58,"")),"")</f>
        <v>0.2</v>
      </c>
      <c r="AI58" s="83" t="str">
        <f>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Bajo</v>
      </c>
      <c r="AJ58" s="411" t="str">
        <f>$AI$59</f>
        <v>Bajo</v>
      </c>
      <c r="AK58" s="401" t="s">
        <v>29</v>
      </c>
      <c r="AL58" s="388"/>
      <c r="AM58" s="450"/>
      <c r="AN58" s="403"/>
      <c r="AO58" s="403"/>
      <c r="AP58" s="388"/>
      <c r="AQ58" s="399"/>
    </row>
    <row r="59" spans="2:43" ht="123.75" customHeight="1" x14ac:dyDescent="0.2">
      <c r="B59" s="425"/>
      <c r="C59" s="474"/>
      <c r="D59" s="393"/>
      <c r="E59" s="455"/>
      <c r="F59" s="433"/>
      <c r="G59" s="425"/>
      <c r="H59" s="393"/>
      <c r="I59" s="393"/>
      <c r="J59" s="387"/>
      <c r="K59" s="393"/>
      <c r="L59" s="448"/>
      <c r="M59" s="395"/>
      <c r="N59" s="410"/>
      <c r="O59" s="223" t="s">
        <v>143</v>
      </c>
      <c r="P59" s="420"/>
      <c r="Q59" s="460"/>
      <c r="R59" s="410"/>
      <c r="S59" s="422"/>
      <c r="T59" s="143">
        <v>2</v>
      </c>
      <c r="U59" s="144" t="s">
        <v>402</v>
      </c>
      <c r="V59" s="149" t="str">
        <f t="shared" si="90"/>
        <v>Probabilidad</v>
      </c>
      <c r="W59" s="168" t="s">
        <v>12</v>
      </c>
      <c r="X59" s="168" t="s">
        <v>7</v>
      </c>
      <c r="Y59" s="150" t="str">
        <f t="shared" ref="Y59" si="97">IF(AND(W59="Preventivo",X59="Automático"),"50%",IF(AND(W59="Preventivo",X59="Manual"),"40%",IF(AND(W59="Detectivo",X59="Automático"),"40%",IF(AND(W59="Detectivo",X59="Manual"),"30%",IF(AND(W59="Correctivo",X59="Automático"),"35%",IF(AND(W59="Correctivo",X59="Manual"),"25%",""))))))</f>
        <v>40%</v>
      </c>
      <c r="Z59" s="169" t="s">
        <v>17</v>
      </c>
      <c r="AA59" s="170" t="s">
        <v>20</v>
      </c>
      <c r="AB59" s="171" t="s">
        <v>114</v>
      </c>
      <c r="AC59" s="145" t="s">
        <v>403</v>
      </c>
      <c r="AD59" s="164">
        <f>IFERROR(IF(AND(V58="Probabilidad",V59="Probabilidad"),(AF58-(+AF58*Y59)),IF(V59="Probabilidad",(N58-(+N58*Y59)),IF(V59="Impacto",AF58,""))),"")</f>
        <v>0.216</v>
      </c>
      <c r="AE59" s="151" t="str">
        <f t="shared" si="93"/>
        <v>Baja</v>
      </c>
      <c r="AF59" s="81">
        <f t="shared" ref="AF59" si="98">+AD59</f>
        <v>0.216</v>
      </c>
      <c r="AG59" s="82" t="str">
        <f t="shared" si="95"/>
        <v>Leve</v>
      </c>
      <c r="AH59" s="152">
        <f>IFERROR(IF(AND(V58="Impacto",V59="Impacto"),(AH56-(+AH56*Y59)),IF(V59="Impacto",($N$13-(+$N$13*Y59)),IF(V59="Probabilidad",AH56,""))),"")</f>
        <v>0.2</v>
      </c>
      <c r="AI59" s="83" t="str">
        <f t="shared" ref="AI59" si="99">IFERROR(IF(OR(AND(AE59="Muy Baja",AG59="Leve"),AND(AE59="Muy Baja",AG59="Menor"),AND(AE59="Baja",AG59="Leve")),"Bajo",IF(OR(AND(AE59="Muy baja",AG59="Moderado"),AND(AE59="Baja",AG59="Menor"),AND(AE59="Baja",AG59="Moderado"),AND(AE59="Media",AG59="Leve"),AND(AE59="Media",AG59="Menor"),AND(AE59="Media",AG59="Moderado"),AND(AE59="Alta",AG59="Leve"),AND(AE59="Alta",AG59="Menor")),"Moderado",IF(OR(AND(AE59="Muy Baja",AG59="Mayor"),AND(AE59="Baja",AG59="Mayor"),AND(AE59="Media",AG59="Mayor"),AND(AE59="Alta",AG59="Moderado"),AND(AE59="Alta",AG59="Mayor"),AND(AE59="Muy Alta",AG59="Leve"),AND(AE59="Muy Alta",AG59="Menor"),AND(AE59="Muy Alta",AG59="Moderado"),AND(AE59="Muy Alta",AG59="Mayor")),"Alto",IF(OR(AND(AE59="Muy Baja",AG59="Catastrófico"),AND(AE59="Baja",AG59="Catastrófico"),AND(AE59="Media",AG59="Catastrófico"),AND(AE59="Alta",AG59="Catastrófico"),AND(AE59="Muy Alta",AG59="Catastrófico")),"Extremo","")))),"")</f>
        <v>Bajo</v>
      </c>
      <c r="AJ59" s="412"/>
      <c r="AK59" s="402"/>
      <c r="AL59" s="396"/>
      <c r="AM59" s="396"/>
      <c r="AN59" s="404"/>
      <c r="AO59" s="404"/>
      <c r="AP59" s="396"/>
      <c r="AQ59" s="400"/>
    </row>
    <row r="60" spans="2:43" ht="143.25" customHeight="1" x14ac:dyDescent="0.2">
      <c r="B60" s="425"/>
      <c r="C60" s="472" t="s">
        <v>395</v>
      </c>
      <c r="D60" s="393">
        <v>40</v>
      </c>
      <c r="E60" s="429" t="s">
        <v>389</v>
      </c>
      <c r="F60" s="469" t="s">
        <v>392</v>
      </c>
      <c r="G60" s="425" t="s">
        <v>599</v>
      </c>
      <c r="H60" s="393" t="s">
        <v>563</v>
      </c>
      <c r="I60" s="393" t="s">
        <v>565</v>
      </c>
      <c r="J60" s="387" t="s">
        <v>123</v>
      </c>
      <c r="K60" s="393" t="s">
        <v>624</v>
      </c>
      <c r="L60" s="477">
        <v>96</v>
      </c>
      <c r="M60" s="464" t="str">
        <f>IF(L60&lt;=0,"",IF(L60&lt;=2,"Muy Baja",IF(L60&lt;=24,"Baja",IF(L60&lt;=500,"Media",IF(L60&lt;=5000,"Alta","Muy Alta")))))</f>
        <v>Media</v>
      </c>
      <c r="N60" s="420">
        <f>IF(M60="","",IF(M60="Muy Baja",0.2,IF(M60="Baja",0.4,IF(M60="Media",0.6,IF(M60="Alta",0.8,IF(M60="Muy Alta",1,))))))</f>
        <v>0.6</v>
      </c>
      <c r="O60" s="461" t="s">
        <v>146</v>
      </c>
      <c r="P60" s="420" t="s">
        <v>146</v>
      </c>
      <c r="Q60" s="460" t="str">
        <f>IF(OR(P60='Tabla Impacto'!$C$11,P60='Tabla Impacto'!$D$11),"Leve",IF(OR(P60='Tabla Impacto'!$C$12,P60='Tabla Impacto'!$D$12),"Menor",IF(OR(P60='Tabla Impacto'!$C$13,P60='Tabla Impacto'!$D$13),"Moderado",IF(OR(P60='Tabla Impacto'!$C$14,P60='Tabla Impacto'!$D$14),"Mayor",IF(OR(P60='Tabla Impacto'!$C$15,P60='Tabla Impacto'!$D$15),"Catastrófico","")))))</f>
        <v>Mayor</v>
      </c>
      <c r="R60" s="420">
        <f>IF(Q60="","",IF(Q60="Leve",0.2,IF(Q60="Menor",0.4,IF(Q60="Moderado",0.6,IF(Q60="Mayor",0.8,IF(Q60="Catastrófico",1,))))))</f>
        <v>0.8</v>
      </c>
      <c r="S60" s="462" t="str">
        <f>IF(OR(AND(M60="Muy Baja",Q60="Leve"),AND(M60="Muy Baja",Q60="Menor"),AND(M60="Baja",Q60="Leve")),"Bajo",IF(OR(AND(M60="Muy baja",Q60="Moderado"),AND(M60="Baja",Q60="Menor"),AND(M60="Baja",Q60="Moderado"),AND(M60="Media",Q60="Leve"),AND(M60="Media",Q60="Menor"),AND(M60="Media",Q60="Moderado"),AND(M60="Alta",Q60="Leve"),AND(M60="Alta",Q60="Menor")),"Moderado",IF(OR(AND(M60="Muy Baja",Q60="Mayor"),AND(M60="Baja",Q60="Mayor"),AND(M60="Media",Q60="Mayor"),AND(M60="Alta",Q60="Moderado"),AND(M60="Alta",Q60="Mayor"),AND(M60="Muy Alta",Q60="Leve"),AND(M60="Muy Alta",Q60="Menor"),AND(M60="Muy Alta",Q60="Moderado"),AND(M60="Muy Alta",Q60="Mayor")),"Alto",IF(OR(AND(M60="Muy Baja",Q60="Catastrófico"),AND(M60="Baja",Q60="Catastrófico"),AND(M60="Media",Q60="Catastrófico"),AND(M60="Alta",Q60="Catastrófico"),AND(M60="Muy Alta",Q60="Catastrófico")),"Extremo",""))))</f>
        <v>Alto</v>
      </c>
      <c r="T60" s="160">
        <v>1</v>
      </c>
      <c r="U60" s="222" t="s">
        <v>404</v>
      </c>
      <c r="V60" s="178" t="str">
        <f t="shared" si="90"/>
        <v>Probabilidad</v>
      </c>
      <c r="W60" s="168" t="s">
        <v>12</v>
      </c>
      <c r="X60" s="168" t="s">
        <v>7</v>
      </c>
      <c r="Y60" s="150" t="str">
        <f>IF(AND(W60="Preventivo",X60="Automático"),"50%",IF(AND(W60="Preventivo",X60="Manual"),"40%",IF(AND(W60="Detectivo",X60="Automático"),"40%",IF(AND(W60="Detectivo",X60="Manual"),"30%",IF(AND(W60="Correctivo",X60="Automático"),"35%",IF(AND(W60="Correctivo",X60="Manual"),"25%",""))))))</f>
        <v>40%</v>
      </c>
      <c r="Z60" s="169" t="s">
        <v>17</v>
      </c>
      <c r="AA60" s="170" t="s">
        <v>20</v>
      </c>
      <c r="AB60" s="171" t="s">
        <v>114</v>
      </c>
      <c r="AC60" s="145" t="s">
        <v>405</v>
      </c>
      <c r="AD60" s="187">
        <f>IFERROR(IF(V60="Probabilidad",(N60-(+N60*Y60)),IF(V60="Impacto",N60,"")),"")</f>
        <v>0.36</v>
      </c>
      <c r="AE60" s="151" t="str">
        <f>IFERROR(IF(AD60="","",IF(AD60&lt;=0.2,"Muy Baja",IF(AD60&lt;=0.4,"Baja",IF(AD60&lt;=0.6,"Media",IF(AD60&lt;=0.8,"Alta","Muy Alta"))))),"")</f>
        <v>Baja</v>
      </c>
      <c r="AF60" s="81">
        <f>+AD60</f>
        <v>0.36</v>
      </c>
      <c r="AG60" s="82" t="str">
        <f>IFERROR(IF(AH60="","",IF(AH60&lt;=0.2,"Leve",IF(AH60&lt;=0.4,"Menor",IF(AH60&lt;=0.6,"Moderado",IF(AH60&lt;=0.8,"Mayor","Catastrófico"))))),"")</f>
        <v>Mayor</v>
      </c>
      <c r="AH60" s="81">
        <f>IFERROR(IF(V60="Impacto",(R60-(+R60*Y60)),IF(V60="Probabilidad",R60,"")),"")</f>
        <v>0.8</v>
      </c>
      <c r="AI60" s="83" t="str">
        <f>IFERROR(IF(OR(AND(AE60="Muy Baja",AG60="Leve"),AND(AE60="Muy Baja",AG60="Menor"),AND(AE60="Baja",AG60="Leve")),"Bajo",IF(OR(AND(AE60="Muy baja",AG60="Moderado"),AND(AE60="Baja",AG60="Menor"),AND(AE60="Baja",AG60="Moderado"),AND(AE60="Media",AG60="Leve"),AND(AE60="Media",AG60="Menor"),AND(AE60="Media",AG60="Moderado"),AND(AE60="Alta",AG60="Leve"),AND(AE60="Alta",AG60="Menor")),"Moderado",IF(OR(AND(AE60="Muy Baja",AG60="Mayor"),AND(AE60="Baja",AG60="Mayor"),AND(AE60="Media",AG60="Mayor"),AND(AE60="Alta",AG60="Moderado"),AND(AE60="Alta",AG60="Mayor"),AND(AE60="Muy Alta",AG60="Leve"),AND(AE60="Muy Alta",AG60="Menor"),AND(AE60="Muy Alta",AG60="Moderado"),AND(AE60="Muy Alta",AG60="Mayor")),"Alto",IF(OR(AND(AE60="Muy Baja",AG60="Catastrófico"),AND(AE60="Baja",AG60="Catastrófico"),AND(AE60="Media",AG60="Catastrófico"),AND(AE60="Alta",AG60="Catastrófico"),AND(AE60="Muy Alta",AG60="Catastrófico")),"Extremo","")))),"")</f>
        <v>Alto</v>
      </c>
      <c r="AJ60" s="436" t="str">
        <f>$AI$61</f>
        <v>Bajo</v>
      </c>
      <c r="AK60" s="401" t="s">
        <v>29</v>
      </c>
      <c r="AL60" s="136" t="s">
        <v>408</v>
      </c>
      <c r="AM60" s="136" t="s">
        <v>409</v>
      </c>
      <c r="AN60" s="241">
        <v>45078</v>
      </c>
      <c r="AO60" s="84" t="s">
        <v>407</v>
      </c>
      <c r="AP60" s="143" t="s">
        <v>643</v>
      </c>
      <c r="AQ60" s="142" t="s">
        <v>38</v>
      </c>
    </row>
    <row r="61" spans="2:43" ht="162" customHeight="1" x14ac:dyDescent="0.2">
      <c r="B61" s="425"/>
      <c r="C61" s="473"/>
      <c r="D61" s="393"/>
      <c r="E61" s="429"/>
      <c r="F61" s="469"/>
      <c r="G61" s="425"/>
      <c r="H61" s="393"/>
      <c r="I61" s="393"/>
      <c r="J61" s="387"/>
      <c r="K61" s="393"/>
      <c r="L61" s="477"/>
      <c r="M61" s="465"/>
      <c r="N61" s="420"/>
      <c r="O61" s="461"/>
      <c r="P61" s="420"/>
      <c r="Q61" s="460"/>
      <c r="R61" s="420"/>
      <c r="S61" s="462"/>
      <c r="T61" s="160">
        <v>2</v>
      </c>
      <c r="U61" s="222" t="s">
        <v>720</v>
      </c>
      <c r="V61" s="178" t="str">
        <f t="shared" si="90"/>
        <v>Probabilidad</v>
      </c>
      <c r="W61" s="168" t="s">
        <v>12</v>
      </c>
      <c r="X61" s="168" t="s">
        <v>7</v>
      </c>
      <c r="Y61" s="150" t="str">
        <f t="shared" ref="Y61" si="100">IF(AND(W61="Preventivo",X61="Automático"),"50%",IF(AND(W61="Preventivo",X61="Manual"),"40%",IF(AND(W61="Detectivo",X61="Automático"),"40%",IF(AND(W61="Detectivo",X61="Manual"),"30%",IF(AND(W61="Correctivo",X61="Automático"),"35%",IF(AND(W61="Correctivo",X61="Manual"),"25%",""))))))</f>
        <v>40%</v>
      </c>
      <c r="Z61" s="169" t="s">
        <v>17</v>
      </c>
      <c r="AA61" s="170" t="s">
        <v>20</v>
      </c>
      <c r="AB61" s="171" t="s">
        <v>114</v>
      </c>
      <c r="AC61" s="145" t="s">
        <v>406</v>
      </c>
      <c r="AD61" s="164">
        <f>IFERROR(IF(AND(V60="Probabilidad",V61="Probabilidad"),(AF60-(+AF60*Y61)),IF(V61="Probabilidad",(N60-(+N60*Y61)),IF(V61="Impacto",AF60,""))),"")</f>
        <v>0.216</v>
      </c>
      <c r="AE61" s="151" t="str">
        <f t="shared" si="93"/>
        <v>Baja</v>
      </c>
      <c r="AF61" s="81">
        <f t="shared" ref="AF61" si="101">+AD61</f>
        <v>0.216</v>
      </c>
      <c r="AG61" s="82" t="str">
        <f t="shared" si="95"/>
        <v>Leve</v>
      </c>
      <c r="AH61" s="152">
        <f>IFERROR(IF(AND(V60="Impacto",V61="Impacto"),(AH58-(+AH58*Y61)),IF(V61="Impacto",(#REF!-(+#REF!*Y61)),IF(V61="Probabilidad",AH58,""))),"")</f>
        <v>0.2</v>
      </c>
      <c r="AI61" s="83" t="str">
        <f t="shared" ref="AI61" si="102">IFERROR(IF(OR(AND(AE61="Muy Baja",AG61="Leve"),AND(AE61="Muy Baja",AG61="Menor"),AND(AE61="Baja",AG61="Leve")),"Bajo",IF(OR(AND(AE61="Muy baja",AG61="Moderado"),AND(AE61="Baja",AG61="Menor"),AND(AE61="Baja",AG61="Moderado"),AND(AE61="Media",AG61="Leve"),AND(AE61="Media",AG61="Menor"),AND(AE61="Media",AG61="Moderado"),AND(AE61="Alta",AG61="Leve"),AND(AE61="Alta",AG61="Menor")),"Moderado",IF(OR(AND(AE61="Muy Baja",AG61="Mayor"),AND(AE61="Baja",AG61="Mayor"),AND(AE61="Media",AG61="Mayor"),AND(AE61="Alta",AG61="Moderado"),AND(AE61="Alta",AG61="Mayor"),AND(AE61="Muy Alta",AG61="Leve"),AND(AE61="Muy Alta",AG61="Menor"),AND(AE61="Muy Alta",AG61="Moderado"),AND(AE61="Muy Alta",AG61="Mayor")),"Alto",IF(OR(AND(AE61="Muy Baja",AG61="Catastrófico"),AND(AE61="Baja",AG61="Catastrófico"),AND(AE61="Media",AG61="Catastrófico"),AND(AE61="Alta",AG61="Catastrófico"),AND(AE61="Muy Alta",AG61="Catastrófico")),"Extremo","")))),"")</f>
        <v>Bajo</v>
      </c>
      <c r="AJ61" s="438"/>
      <c r="AK61" s="402"/>
      <c r="AL61" s="136" t="s">
        <v>410</v>
      </c>
      <c r="AM61" s="136" t="s">
        <v>409</v>
      </c>
      <c r="AN61" s="241">
        <v>45078</v>
      </c>
      <c r="AO61" s="84" t="s">
        <v>407</v>
      </c>
      <c r="AP61" s="143" t="s">
        <v>644</v>
      </c>
      <c r="AQ61" s="142" t="s">
        <v>38</v>
      </c>
    </row>
    <row r="62" spans="2:43" ht="178.5" customHeight="1" x14ac:dyDescent="0.2">
      <c r="B62" s="425" t="s">
        <v>412</v>
      </c>
      <c r="C62" s="428" t="s">
        <v>412</v>
      </c>
      <c r="D62" s="393">
        <v>41</v>
      </c>
      <c r="E62" s="455" t="s">
        <v>411</v>
      </c>
      <c r="F62" s="433" t="s">
        <v>752</v>
      </c>
      <c r="G62" s="425" t="s">
        <v>600</v>
      </c>
      <c r="H62" s="393" t="s">
        <v>563</v>
      </c>
      <c r="I62" s="393" t="s">
        <v>565</v>
      </c>
      <c r="J62" s="433" t="s">
        <v>121</v>
      </c>
      <c r="K62" s="393" t="s">
        <v>624</v>
      </c>
      <c r="L62" s="448">
        <f>365*219</f>
        <v>79935</v>
      </c>
      <c r="M62" s="417" t="str">
        <f>IF(L62&lt;=0,"",IF(L62&lt;=2,"Muy Baja",IF(L62&lt;=24,"Baja",IF(L62&lt;=500,"Media",IF(L62&lt;=5000,"Alta","Muy Alta")))))</f>
        <v>Muy Alta</v>
      </c>
      <c r="N62" s="410">
        <f>IF(M62="","",IF(M62="Muy Baja",0.2,IF(M62="Baja",0.4,IF(M62="Media",0.6,IF(M62="Alta",0.8,IF(M62="Muy Alta",1,))))))</f>
        <v>1</v>
      </c>
      <c r="O62" s="223" t="s">
        <v>143</v>
      </c>
      <c r="P62" s="420" t="s">
        <v>143</v>
      </c>
      <c r="Q62" s="460" t="str">
        <f>IF(OR(P62='Tabla Impacto'!$C$11,P62='Tabla Impacto'!$D$11),"Leve",IF(OR(P62='Tabla Impacto'!$C$12,P62='Tabla Impacto'!$D$12),"Menor",IF(OR(P62='Tabla Impacto'!$C$13,P62='Tabla Impacto'!$D$13),"Moderado",IF(OR(P62='Tabla Impacto'!$C$14,P62='Tabla Impacto'!$D$14),"Mayor",IF(OR(P62='Tabla Impacto'!$C$15,P62='Tabla Impacto'!$D$15),"Catastrófico","")))))</f>
        <v>Leve</v>
      </c>
      <c r="R62" s="410">
        <f>IF(Q62="","",IF(Q62="Leve",0.2,IF(Q62="Menor",0.4,IF(Q62="Moderado",0.6,IF(Q62="Mayor",0.8,IF(Q62="Catastrófico",1,))))))</f>
        <v>0.2</v>
      </c>
      <c r="S62" s="422" t="str">
        <f>IF(OR(AND(M62="Muy Baja",Q62="Leve"),AND(M62="Muy Baja",Q62="Menor"),AND(M62="Baja",Q62="Leve")),"Bajo",IF(OR(AND(M62="Muy baja",Q62="Moderado"),AND(M62="Baja",Q62="Menor"),AND(M62="Baja",Q62="Moderado"),AND(M62="Media",Q62="Leve"),AND(M62="Media",Q62="Menor"),AND(M62="Media",Q62="Moderado"),AND(M62="Alta",Q62="Leve"),AND(M62="Alta",Q62="Menor")),"Moderado",IF(OR(AND(M62="Muy Baja",Q62="Mayor"),AND(M62="Baja",Q62="Mayor"),AND(M62="Media",Q62="Mayor"),AND(M62="Alta",Q62="Moderado"),AND(M62="Alta",Q62="Mayor"),AND(M62="Muy Alta",Q62="Leve"),AND(M62="Muy Alta",Q62="Menor"),AND(M62="Muy Alta",Q62="Moderado"),AND(M62="Muy Alta",Q62="Mayor")),"Alto",IF(OR(AND(M62="Muy Baja",Q62="Catastrófico"),AND(M62="Baja",Q62="Catastrófico"),AND(M62="Media",Q62="Catastrófico"),AND(M62="Alta",Q62="Catastrófico"),AND(M62="Muy Alta",Q62="Catastrófico")),"Extremo",""))))</f>
        <v>Alto</v>
      </c>
      <c r="T62" s="141">
        <v>1</v>
      </c>
      <c r="U62" s="144" t="s">
        <v>414</v>
      </c>
      <c r="V62" s="146" t="str">
        <f t="shared" ref="V62:V64" si="103">IF(OR(W62="Preventivo",W62="Detectivo"),"Probabilidad",IF(W62="Correctivo","Impacto",""))</f>
        <v>Probabilidad</v>
      </c>
      <c r="W62" s="147" t="s">
        <v>12</v>
      </c>
      <c r="X62" s="147" t="s">
        <v>7</v>
      </c>
      <c r="Y62" s="148" t="str">
        <f>IF(AND(W62="Preventivo",X62="Automático"),"50%",IF(AND(W62="Preventivo",X62="Manual"),"40%",IF(AND(W62="Detectivo",X62="Automático"),"40%",IF(AND(W62="Detectivo",X62="Manual"),"30%",IF(AND(W62="Correctivo",X62="Automático"),"35%",IF(AND(W62="Correctivo",X62="Manual"),"25%",""))))))</f>
        <v>40%</v>
      </c>
      <c r="Z62" s="161" t="s">
        <v>17</v>
      </c>
      <c r="AA62" s="162" t="s">
        <v>20</v>
      </c>
      <c r="AB62" s="163" t="s">
        <v>114</v>
      </c>
      <c r="AC62" s="145" t="s">
        <v>415</v>
      </c>
      <c r="AD62" s="164">
        <f>IFERROR(IF(V62="Probabilidad",(N62-(+N62*Y62)),IF(V62="Impacto",N62,"")),"")</f>
        <v>0.6</v>
      </c>
      <c r="AE62" s="165" t="str">
        <f>IFERROR(IF(AD62="","",IF(AD62&lt;=0.2,"Muy Baja",IF(AD62&lt;=0.4,"Baja",IF(AD62&lt;=0.6,"Media",IF(AD62&lt;=0.8,"Alta","Muy Alta"))))),"")</f>
        <v>Media</v>
      </c>
      <c r="AF62" s="148">
        <f>+AD62</f>
        <v>0.6</v>
      </c>
      <c r="AG62" s="166" t="str">
        <f>IFERROR(IF(AH62="","",IF(AH62&lt;=0.2,"Leve",IF(AH62&lt;=0.4,"Menor",IF(AH62&lt;=0.6,"Moderado",IF(AH62&lt;=0.8,"Mayor","Catastrófico"))))),"")</f>
        <v>Leve</v>
      </c>
      <c r="AH62" s="148">
        <f>IFERROR(IF(V62="Impacto",(R62-(+R62*Y62)),IF(V62="Probabilidad",R62,"")),"")</f>
        <v>0.2</v>
      </c>
      <c r="AI62" s="167" t="str">
        <f>IFERROR(IF(OR(AND(AE62="Muy Baja",AG62="Leve"),AND(AE62="Muy Baja",AG62="Menor"),AND(AE62="Baja",AG62="Leve")),"Bajo",IF(OR(AND(AE62="Muy baja",AG62="Moderado"),AND(AE62="Baja",AG62="Menor"),AND(AE62="Baja",AG62="Moderado"),AND(AE62="Media",AG62="Leve"),AND(AE62="Media",AG62="Menor"),AND(AE62="Media",AG62="Moderado"),AND(AE62="Alta",AG62="Leve"),AND(AE62="Alta",AG62="Menor")),"Moderado",IF(OR(AND(AE62="Muy Baja",AG62="Mayor"),AND(AE62="Baja",AG62="Mayor"),AND(AE62="Media",AG62="Mayor"),AND(AE62="Alta",AG62="Moderado"),AND(AE62="Alta",AG62="Mayor"),AND(AE62="Muy Alta",AG62="Leve"),AND(AE62="Muy Alta",AG62="Menor"),AND(AE62="Muy Alta",AG62="Moderado"),AND(AE62="Muy Alta",AG62="Mayor")),"Alto",IF(OR(AND(AE62="Muy Baja",AG62="Catastrófico"),AND(AE62="Baja",AG62="Catastrófico"),AND(AE62="Media",AG62="Catastrófico"),AND(AE62="Alta",AG62="Catastrófico"),AND(AE62="Muy Alta",AG62="Catastrófico")),"Extremo","")))),"")</f>
        <v>Moderado</v>
      </c>
      <c r="AJ62" s="411" t="str">
        <f>$AI$63</f>
        <v>Moderado</v>
      </c>
      <c r="AK62" s="401" t="s">
        <v>30</v>
      </c>
      <c r="AL62" s="433"/>
      <c r="AM62" s="433"/>
      <c r="AN62" s="454"/>
      <c r="AO62" s="454"/>
      <c r="AP62" s="433"/>
      <c r="AQ62" s="447"/>
    </row>
    <row r="63" spans="2:43" ht="105" customHeight="1" x14ac:dyDescent="0.2">
      <c r="B63" s="425"/>
      <c r="C63" s="428"/>
      <c r="D63" s="393"/>
      <c r="E63" s="455"/>
      <c r="F63" s="433"/>
      <c r="G63" s="425"/>
      <c r="H63" s="393"/>
      <c r="I63" s="393"/>
      <c r="J63" s="433"/>
      <c r="K63" s="393"/>
      <c r="L63" s="448"/>
      <c r="M63" s="417"/>
      <c r="N63" s="410"/>
      <c r="O63" s="223" t="s">
        <v>143</v>
      </c>
      <c r="P63" s="420"/>
      <c r="Q63" s="460"/>
      <c r="R63" s="410"/>
      <c r="S63" s="422"/>
      <c r="T63" s="143">
        <v>2</v>
      </c>
      <c r="U63" s="144" t="s">
        <v>416</v>
      </c>
      <c r="V63" s="146" t="str">
        <f t="shared" si="103"/>
        <v>Impacto</v>
      </c>
      <c r="W63" s="168" t="s">
        <v>417</v>
      </c>
      <c r="X63" s="168" t="s">
        <v>7</v>
      </c>
      <c r="Y63" s="150" t="str">
        <f t="shared" ref="Y63" si="104">IF(AND(W63="Preventivo",X63="Automático"),"50%",IF(AND(W63="Preventivo",X63="Manual"),"40%",IF(AND(W63="Detectivo",X63="Automático"),"40%",IF(AND(W63="Detectivo",X63="Manual"),"30%",IF(AND(W63="Correctivo",X63="Automático"),"35%",IF(AND(W63="Correctivo",X63="Manual"),"25%",""))))))</f>
        <v>25%</v>
      </c>
      <c r="Z63" s="169" t="s">
        <v>17</v>
      </c>
      <c r="AA63" s="170" t="s">
        <v>20</v>
      </c>
      <c r="AB63" s="171" t="s">
        <v>114</v>
      </c>
      <c r="AC63" s="145" t="s">
        <v>418</v>
      </c>
      <c r="AD63" s="164">
        <f>IFERROR(IF(AND(V62="Probabilidad",V63="Probabilidad"),(AF62-(+AF62*Y63)),IF(V63="Probabilidad",(N62-(+N62*Y63)),IF(V63="Impacto",AF62,""))),"")</f>
        <v>0.6</v>
      </c>
      <c r="AE63" s="151" t="str">
        <f t="shared" ref="AE63" si="105">IFERROR(IF(AD63="","",IF(AD63&lt;=0.2,"Muy Baja",IF(AD63&lt;=0.4,"Baja",IF(AD63&lt;=0.6,"Media",IF(AD63&lt;=0.8,"Alta","Muy Alta"))))),"")</f>
        <v>Media</v>
      </c>
      <c r="AF63" s="81">
        <f t="shared" ref="AF63" si="106">+AD63</f>
        <v>0.6</v>
      </c>
      <c r="AG63" s="82" t="str">
        <f t="shared" ref="AG63" si="107">IFERROR(IF(AH63="","",IF(AH63&lt;=0.2,"Leve",IF(AH63&lt;=0.4,"Menor",IF(AH63&lt;=0.6,"Moderado",IF(AH63&lt;=0.8,"Mayor","Catastrófico"))))),"")</f>
        <v>Leve</v>
      </c>
      <c r="AH63" s="152">
        <f>IFERROR(IF(AND(V62:V63="Impacto",V63="Impacto"),(AH62-(+AH62*Y63)),IF(V63="Impacto",($M$10-(+$M$10*Y63)),IF(V63="Probabilidad",AH62,""))),"")</f>
        <v>0.15000000000000002</v>
      </c>
      <c r="AI63" s="83" t="str">
        <f t="shared" ref="AI63" si="108">IFERROR(IF(OR(AND(AE63="Muy Baja",AG63="Leve"),AND(AE63="Muy Baja",AG63="Menor"),AND(AE63="Baja",AG63="Leve")),"Bajo",IF(OR(AND(AE63="Muy baja",AG63="Moderado"),AND(AE63="Baja",AG63="Menor"),AND(AE63="Baja",AG63="Moderado"),AND(AE63="Media",AG63="Leve"),AND(AE63="Media",AG63="Menor"),AND(AE63="Media",AG63="Moderado"),AND(AE63="Alta",AG63="Leve"),AND(AE63="Alta",AG63="Menor")),"Moderado",IF(OR(AND(AE63="Muy Baja",AG63="Mayor"),AND(AE63="Baja",AG63="Mayor"),AND(AE63="Media",AG63="Mayor"),AND(AE63="Alta",AG63="Moderado"),AND(AE63="Alta",AG63="Mayor"),AND(AE63="Muy Alta",AG63="Leve"),AND(AE63="Muy Alta",AG63="Menor"),AND(AE63="Muy Alta",AG63="Moderado"),AND(AE63="Muy Alta",AG63="Mayor")),"Alto",IF(OR(AND(AE63="Muy Baja",AG63="Catastrófico"),AND(AE63="Baja",AG63="Catastrófico"),AND(AE63="Media",AG63="Catastrófico"),AND(AE63="Alta",AG63="Catastrófico"),AND(AE63="Muy Alta",AG63="Catastrófico")),"Extremo","")))),"")</f>
        <v>Moderado</v>
      </c>
      <c r="AJ63" s="412"/>
      <c r="AK63" s="402"/>
      <c r="AL63" s="396"/>
      <c r="AM63" s="396"/>
      <c r="AN63" s="404"/>
      <c r="AO63" s="404"/>
      <c r="AP63" s="396"/>
      <c r="AQ63" s="400"/>
    </row>
    <row r="64" spans="2:43" ht="137.25" customHeight="1" x14ac:dyDescent="0.2">
      <c r="B64" s="425"/>
      <c r="C64" s="428"/>
      <c r="D64" s="143">
        <v>42</v>
      </c>
      <c r="E64" s="339" t="s">
        <v>602</v>
      </c>
      <c r="F64" s="199" t="s">
        <v>413</v>
      </c>
      <c r="G64" s="136" t="s">
        <v>601</v>
      </c>
      <c r="H64" s="143" t="s">
        <v>563</v>
      </c>
      <c r="I64" s="143" t="s">
        <v>565</v>
      </c>
      <c r="J64" s="199" t="s">
        <v>121</v>
      </c>
      <c r="K64" s="143" t="s">
        <v>624</v>
      </c>
      <c r="L64" s="195">
        <f>365*1300</f>
        <v>474500</v>
      </c>
      <c r="M64" s="192" t="str">
        <f>IF(L64&lt;=0,"",IF(L64&lt;=2,"Muy Baja",IF(L64&lt;=24,"Baja",IF(L64&lt;=500,"Media",IF(L64&lt;=5000,"Alta","Muy Alta")))))</f>
        <v>Muy Alta</v>
      </c>
      <c r="N64" s="230">
        <f>IF(M64="","",IF(M64="Muy Baja",0.2,IF(M64="Baja",0.4,IF(M64="Media",0.6,IF(M64="Alta",0.8,IF(M64="Muy Alta",1,))))))</f>
        <v>1</v>
      </c>
      <c r="O64" s="223" t="s">
        <v>143</v>
      </c>
      <c r="P64" s="153" t="s">
        <v>143</v>
      </c>
      <c r="Q64" s="196" t="str">
        <f>IF(OR(P64='Tabla Impacto'!$C$11,P64='Tabla Impacto'!$D$11),"Leve",IF(OR(P64='Tabla Impacto'!$C$12,P64='Tabla Impacto'!$D$12),"Menor",IF(OR(P64='Tabla Impacto'!$C$13,P64='Tabla Impacto'!$D$13),"Moderado",IF(OR(P64='Tabla Impacto'!$C$14,P64='Tabla Impacto'!$D$14),"Mayor",IF(OR(P64='Tabla Impacto'!$C$15,P64='Tabla Impacto'!$D$15),"Catastrófico","")))))</f>
        <v>Leve</v>
      </c>
      <c r="R64" s="190">
        <f>IF(Q64="","",IF(Q64="Leve",0.2,IF(Q64="Menor",0.4,IF(Q64="Moderado",0.6,IF(Q64="Mayor",0.8,IF(Q64="Catastrófico",1,))))))</f>
        <v>0.2</v>
      </c>
      <c r="S64" s="252" t="str">
        <f>IF(OR(AND(M64="Muy Baja",Q64="Leve"),AND(M64="Muy Baja",Q64="Menor"),AND(M64="Baja",Q64="Leve")),"Bajo",IF(OR(AND(M64="Muy baja",Q64="Moderado"),AND(M64="Baja",Q64="Menor"),AND(M64="Baja",Q64="Moderado"),AND(M64="Media",Q64="Leve"),AND(M64="Media",Q64="Menor"),AND(M64="Media",Q64="Moderado"),AND(M64="Alta",Q64="Leve"),AND(M64="Alta",Q64="Menor")),"Moderado",IF(OR(AND(M64="Muy Baja",Q64="Mayor"),AND(M64="Baja",Q64="Mayor"),AND(M64="Media",Q64="Mayor"),AND(M64="Alta",Q64="Moderado"),AND(M64="Alta",Q64="Mayor"),AND(M64="Muy Alta",Q64="Leve"),AND(M64="Muy Alta",Q64="Menor"),AND(M64="Muy Alta",Q64="Moderado"),AND(M64="Muy Alta",Q64="Mayor")),"Alto",IF(OR(AND(M64="Muy Baja",Q64="Catastrófico"),AND(M64="Baja",Q64="Catastrófico"),AND(M64="Media",Q64="Catastrófico"),AND(M64="Alta",Q64="Catastrófico"),AND(M64="Muy Alta",Q64="Catastrófico")),"Extremo",""))))</f>
        <v>Alto</v>
      </c>
      <c r="T64" s="143">
        <v>1</v>
      </c>
      <c r="U64" s="140" t="s">
        <v>419</v>
      </c>
      <c r="V64" s="149" t="str">
        <f t="shared" si="103"/>
        <v>Probabilidad</v>
      </c>
      <c r="W64" s="168" t="s">
        <v>12</v>
      </c>
      <c r="X64" s="168" t="s">
        <v>7</v>
      </c>
      <c r="Y64" s="150" t="str">
        <f>IF(AND(W64="Preventivo",X64="Automático"),"50%",IF(AND(W64="Preventivo",X64="Manual"),"40%",IF(AND(W64="Detectivo",X64="Automático"),"40%",IF(AND(W64="Detectivo",X64="Manual"),"30%",IF(AND(W64="Correctivo",X64="Automático"),"35%",IF(AND(W64="Correctivo",X64="Manual"),"25%",""))))))</f>
        <v>40%</v>
      </c>
      <c r="Z64" s="169" t="s">
        <v>17</v>
      </c>
      <c r="AA64" s="170" t="s">
        <v>20</v>
      </c>
      <c r="AB64" s="171" t="s">
        <v>114</v>
      </c>
      <c r="AC64" s="145" t="s">
        <v>420</v>
      </c>
      <c r="AD64" s="164">
        <f>IFERROR(IF(V64="Probabilidad",(N64-(+N64*Y64)),IF(V64="Impacto",N64,"")),"")</f>
        <v>0.6</v>
      </c>
      <c r="AE64" s="151" t="str">
        <f>IFERROR(IF(AD64="","",IF(AD64&lt;=0.2,"Muy Baja",IF(AD64&lt;=0.4,"Baja",IF(AD64&lt;=0.6,"Media",IF(AD64&lt;=0.8,"Alta","Muy Alta"))))),"")</f>
        <v>Media</v>
      </c>
      <c r="AF64" s="81">
        <f>+AD64</f>
        <v>0.6</v>
      </c>
      <c r="AG64" s="82" t="str">
        <f>IFERROR(IF(AH64="","",IF(AH64&lt;=0.2,"Leve",IF(AH64&lt;=0.4,"Menor",IF(AH64&lt;=0.6,"Moderado",IF(AH64&lt;=0.8,"Mayor","Catastrófico"))))),"")</f>
        <v>Leve</v>
      </c>
      <c r="AH64" s="81">
        <f>IFERROR(IF(V64="Impacto",(R64-(+R64*Y64)),IF(V64="Probabilidad",R64,"")),"")</f>
        <v>0.2</v>
      </c>
      <c r="AI64" s="83" t="str">
        <f>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Moderado</v>
      </c>
      <c r="AJ64" s="83" t="str">
        <f>$AI$64</f>
        <v>Moderado</v>
      </c>
      <c r="AK64" s="125" t="s">
        <v>30</v>
      </c>
      <c r="AL64" s="140"/>
      <c r="AM64" s="144"/>
      <c r="AN64" s="181"/>
      <c r="AO64" s="181"/>
      <c r="AP64" s="140"/>
      <c r="AQ64" s="142"/>
    </row>
    <row r="65" spans="2:43" ht="263.25" customHeight="1" x14ac:dyDescent="0.2">
      <c r="B65" s="425" t="s">
        <v>421</v>
      </c>
      <c r="C65" s="428" t="s">
        <v>421</v>
      </c>
      <c r="D65" s="393">
        <v>43</v>
      </c>
      <c r="E65" s="385" t="s">
        <v>422</v>
      </c>
      <c r="F65" s="387" t="s">
        <v>423</v>
      </c>
      <c r="G65" s="425" t="s">
        <v>603</v>
      </c>
      <c r="H65" s="393" t="s">
        <v>563</v>
      </c>
      <c r="I65" s="393" t="s">
        <v>565</v>
      </c>
      <c r="J65" s="387" t="s">
        <v>118</v>
      </c>
      <c r="K65" s="393" t="s">
        <v>624</v>
      </c>
      <c r="L65" s="394">
        <v>192</v>
      </c>
      <c r="M65" s="395" t="str">
        <f>IF(L65&lt;=0,"",IF(L65&lt;=2,"Muy Baja",IF(L65&lt;=24,"Baja",IF(L65&lt;=500,"Media",IF(L65&lt;=5000,"Alta","Muy Alta")))))</f>
        <v>Media</v>
      </c>
      <c r="N65" s="405">
        <f>IF(M65="","",IF(M65="Muy Baja",0.2,IF(M65="Baja",0.4,IF(M65="Media",0.6,IF(M65="Alta",0.8,IF(M65="Muy Alta",1,))))))</f>
        <v>0.6</v>
      </c>
      <c r="O65" s="406" t="s">
        <v>145</v>
      </c>
      <c r="P65" s="405" t="s">
        <v>145</v>
      </c>
      <c r="Q65" s="460" t="str">
        <f>IF(OR(P65='Tabla Impacto'!$C$11,P65='Tabla Impacto'!$D$11),"Leve",IF(OR(P65='Tabla Impacto'!$C$12,P65='Tabla Impacto'!$D$12),"Menor",IF(OR(P65='Tabla Impacto'!$C$13,P65='Tabla Impacto'!$D$13),"Moderado",IF(OR(P65='Tabla Impacto'!$C$14,P65='Tabla Impacto'!$D$14),"Mayor",IF(OR(P65='Tabla Impacto'!$C$15,P65='Tabla Impacto'!$D$15),"Catastrófico","")))))</f>
        <v>Moderado</v>
      </c>
      <c r="R65" s="405">
        <f>IF(Q65="","",IF(Q65="Leve",0.2,IF(Q65="Menor",0.4,IF(Q65="Moderado",0.6,IF(Q65="Mayor",0.8,IF(Q65="Catastrófico",1,))))))</f>
        <v>0.6</v>
      </c>
      <c r="S65" s="384" t="str">
        <f>IF(OR(AND(M65="Muy Baja",Q65="Leve"),AND(M65="Muy Baja",Q65="Menor"),AND(M65="Baja",Q65="Leve")),"Bajo",IF(OR(AND(M65="Muy baja",Q65="Moderado"),AND(M65="Baja",Q65="Menor"),AND(M65="Baja",Q65="Moderado"),AND(M65="Media",Q65="Leve"),AND(M65="Media",Q65="Menor"),AND(M65="Media",Q65="Moderado"),AND(M65="Alta",Q65="Leve"),AND(M65="Alta",Q65="Menor")),"Moderado",IF(OR(AND(M65="Muy Baja",Q65="Mayor"),AND(M65="Baja",Q65="Mayor"),AND(M65="Media",Q65="Mayor"),AND(M65="Alta",Q65="Moderado"),AND(M65="Alta",Q65="Mayor"),AND(M65="Muy Alta",Q65="Leve"),AND(M65="Muy Alta",Q65="Menor"),AND(M65="Muy Alta",Q65="Moderado"),AND(M65="Muy Alta",Q65="Mayor")),"Alto",IF(OR(AND(M65="Muy Baja",Q65="Catastrófico"),AND(M65="Baja",Q65="Catastrófico"),AND(M65="Media",Q65="Catastrófico"),AND(M65="Alta",Q65="Catastrófico"),AND(M65="Muy Alta",Q65="Catastrófico")),"Extremo",""))))</f>
        <v>Moderado</v>
      </c>
      <c r="T65" s="143">
        <v>1</v>
      </c>
      <c r="U65" s="140" t="s">
        <v>424</v>
      </c>
      <c r="V65" s="124" t="str">
        <f t="shared" ref="V65:V114" si="109">IF(OR(W65="Preventivo",W65="Detectivo"),"Probabilidad",IF(W65="Correctivo","Impacto",""))</f>
        <v>Probabilidad</v>
      </c>
      <c r="W65" s="125" t="s">
        <v>12</v>
      </c>
      <c r="X65" s="125" t="s">
        <v>7</v>
      </c>
      <c r="Y65" s="81" t="str">
        <f>IF(AND(W65="Preventivo",X65="Automático"),"50%",IF(AND(W65="Preventivo",X65="Manual"),"40%",IF(AND(W65="Detectivo",X65="Automático"),"40%",IF(AND(W65="Detectivo",X65="Manual"),"30%",IF(AND(W65="Correctivo",X65="Automático"),"35%",IF(AND(W65="Correctivo",X65="Manual"),"25%",""))))))</f>
        <v>40%</v>
      </c>
      <c r="Z65" s="125" t="s">
        <v>17</v>
      </c>
      <c r="AA65" s="125" t="s">
        <v>20</v>
      </c>
      <c r="AB65" s="125" t="s">
        <v>114</v>
      </c>
      <c r="AC65" s="123" t="s">
        <v>425</v>
      </c>
      <c r="AD65" s="126">
        <f>IFERROR(IF(V65="Probabilidad",(N65-(+N65*Y65)),IF(V65="Impacto",N65,"")),"")</f>
        <v>0.36</v>
      </c>
      <c r="AE65" s="82" t="str">
        <f>IFERROR(IF(AD65="","",IF(AD65&lt;=0.2,"Muy Baja",IF(AD65&lt;=0.4,"Baja",IF(AD65&lt;=0.6,"Media",IF(AD65&lt;=0.8,"Alta","Muy Alta"))))),"")</f>
        <v>Baja</v>
      </c>
      <c r="AF65" s="81">
        <f>+AD65</f>
        <v>0.36</v>
      </c>
      <c r="AG65" s="82" t="str">
        <f>IFERROR(IF(AH65="","",IF(AH65&lt;=0.2,"Leve",IF(AH65&lt;=0.4,"Menor",IF(AH65&lt;=0.6,"Moderado",IF(AH65&lt;=0.8,"Mayor","Catastrófico"))))),"")</f>
        <v>Moderado</v>
      </c>
      <c r="AH65" s="81">
        <f>IFERROR(IF(V65="Impacto",(R65-(+R65*Y65)),IF(V65="Probabilidad",R65,"")),"")</f>
        <v>0.6</v>
      </c>
      <c r="AI65" s="83" t="str">
        <f>IFERROR(IF(OR(AND(AE65="Muy Baja",AG65="Leve"),AND(AE65="Muy Baja",AG65="Menor"),AND(AE65="Baja",AG65="Leve")),"Bajo",IF(OR(AND(AE65="Muy baja",AG65="Moderado"),AND(AE65="Baja",AG65="Menor"),AND(AE65="Baja",AG65="Moderado"),AND(AE65="Media",AG65="Leve"),AND(AE65="Media",AG65="Menor"),AND(AE65="Media",AG65="Moderado"),AND(AE65="Alta",AG65="Leve"),AND(AE65="Alta",AG65="Menor")),"Moderado",IF(OR(AND(AE65="Muy Baja",AG65="Mayor"),AND(AE65="Baja",AG65="Mayor"),AND(AE65="Media",AG65="Mayor"),AND(AE65="Alta",AG65="Moderado"),AND(AE65="Alta",AG65="Mayor"),AND(AE65="Muy Alta",AG65="Leve"),AND(AE65="Muy Alta",AG65="Menor"),AND(AE65="Muy Alta",AG65="Moderado"),AND(AE65="Muy Alta",AG65="Mayor")),"Alto",IF(OR(AND(AE65="Muy Baja",AG65="Catastrófico"),AND(AE65="Baja",AG65="Catastrófico"),AND(AE65="Media",AG65="Catastrófico"),AND(AE65="Alta",AG65="Catastrófico"),AND(AE65="Muy Alta",AG65="Catastrófico")),"Extremo","")))),"")</f>
        <v>Moderado</v>
      </c>
      <c r="AJ65" s="413" t="str">
        <f>$AI$66</f>
        <v>Moderado</v>
      </c>
      <c r="AK65" s="463" t="s">
        <v>30</v>
      </c>
      <c r="AL65" s="158"/>
      <c r="AM65" s="158"/>
      <c r="AN65" s="158"/>
      <c r="AO65" s="158"/>
      <c r="AP65" s="158"/>
      <c r="AQ65" s="158"/>
    </row>
    <row r="66" spans="2:43" ht="63.75" x14ac:dyDescent="0.2">
      <c r="B66" s="425"/>
      <c r="C66" s="428"/>
      <c r="D66" s="393"/>
      <c r="E66" s="385"/>
      <c r="F66" s="387"/>
      <c r="G66" s="425"/>
      <c r="H66" s="393"/>
      <c r="I66" s="393"/>
      <c r="J66" s="387"/>
      <c r="K66" s="393"/>
      <c r="L66" s="394"/>
      <c r="M66" s="395"/>
      <c r="N66" s="405"/>
      <c r="O66" s="406"/>
      <c r="P66" s="405"/>
      <c r="Q66" s="460"/>
      <c r="R66" s="405"/>
      <c r="S66" s="384"/>
      <c r="T66" s="143">
        <v>2</v>
      </c>
      <c r="U66" s="140" t="s">
        <v>426</v>
      </c>
      <c r="V66" s="124" t="str">
        <f t="shared" si="109"/>
        <v>Probabilidad</v>
      </c>
      <c r="W66" s="125" t="s">
        <v>12</v>
      </c>
      <c r="X66" s="125" t="s">
        <v>7</v>
      </c>
      <c r="Y66" s="81" t="str">
        <f t="shared" ref="Y66" si="110">IF(AND(W66="Preventivo",X66="Automático"),"50%",IF(AND(W66="Preventivo",X66="Manual"),"40%",IF(AND(W66="Detectivo",X66="Automático"),"40%",IF(AND(W66="Detectivo",X66="Manual"),"30%",IF(AND(W66="Correctivo",X66="Automático"),"35%",IF(AND(W66="Correctivo",X66="Manual"),"25%",""))))))</f>
        <v>40%</v>
      </c>
      <c r="Z66" s="125" t="s">
        <v>17</v>
      </c>
      <c r="AA66" s="125" t="s">
        <v>20</v>
      </c>
      <c r="AB66" s="125" t="s">
        <v>114</v>
      </c>
      <c r="AC66" s="123" t="s">
        <v>427</v>
      </c>
      <c r="AD66" s="126">
        <f>IFERROR(IF(AND(V65="Probabilidad",V66="Probabilidad"),(AF65-(+AF65*Y66)),IF(V66="Probabilidad",(N65-(+N65*Y66)),IF(V66="Impacto",AF65,""))),"")</f>
        <v>0.216</v>
      </c>
      <c r="AE66" s="82" t="str">
        <f t="shared" ref="AE66" si="111">IFERROR(IF(AD66="","",IF(AD66&lt;=0.2,"Muy Baja",IF(AD66&lt;=0.4,"Baja",IF(AD66&lt;=0.6,"Media",IF(AD66&lt;=0.8,"Alta","Muy Alta"))))),"")</f>
        <v>Baja</v>
      </c>
      <c r="AF66" s="81">
        <f t="shared" ref="AF66" si="112">+AD66</f>
        <v>0.216</v>
      </c>
      <c r="AG66" s="82" t="str">
        <f t="shared" ref="AG66" si="113">IFERROR(IF(AH66="","",IF(AH66&lt;=0.2,"Leve",IF(AH66&lt;=0.4,"Menor",IF(AH66&lt;=0.6,"Moderado",IF(AH66&lt;=0.8,"Mayor","Catastrófico"))))),"")</f>
        <v>Moderado</v>
      </c>
      <c r="AH66" s="81">
        <f>IFERROR(IF(AND(V65="Impacto",V66="Impacto"),(AH65-(+AH65*Y66)),IF(V66="Impacto",($M$10-(+$M$10*Y66)),IF(V66="Probabilidad",AH65,""))),"")</f>
        <v>0.6</v>
      </c>
      <c r="AI66" s="83" t="str">
        <f t="shared" ref="AI66" si="114">IFERROR(IF(OR(AND(AE66="Muy Baja",AG66="Leve"),AND(AE66="Muy Baja",AG66="Menor"),AND(AE66="Baja",AG66="Leve")),"Bajo",IF(OR(AND(AE66="Muy baja",AG66="Moderado"),AND(AE66="Baja",AG66="Menor"),AND(AE66="Baja",AG66="Moderado"),AND(AE66="Media",AG66="Leve"),AND(AE66="Media",AG66="Menor"),AND(AE66="Media",AG66="Moderado"),AND(AE66="Alta",AG66="Leve"),AND(AE66="Alta",AG66="Menor")),"Moderado",IF(OR(AND(AE66="Muy Baja",AG66="Mayor"),AND(AE66="Baja",AG66="Mayor"),AND(AE66="Media",AG66="Mayor"),AND(AE66="Alta",AG66="Moderado"),AND(AE66="Alta",AG66="Mayor"),AND(AE66="Muy Alta",AG66="Leve"),AND(AE66="Muy Alta",AG66="Menor"),AND(AE66="Muy Alta",AG66="Moderado"),AND(AE66="Muy Alta",AG66="Mayor")),"Alto",IF(OR(AND(AE66="Muy Baja",AG66="Catastrófico"),AND(AE66="Baja",AG66="Catastrófico"),AND(AE66="Media",AG66="Catastrófico"),AND(AE66="Alta",AG66="Catastrófico"),AND(AE66="Muy Alta",AG66="Catastrófico")),"Extremo","")))),"")</f>
        <v>Moderado</v>
      </c>
      <c r="AJ66" s="413"/>
      <c r="AK66" s="463"/>
      <c r="AL66" s="158"/>
      <c r="AM66" s="158"/>
      <c r="AN66" s="158"/>
      <c r="AO66" s="158"/>
      <c r="AP66" s="158"/>
      <c r="AQ66" s="158"/>
    </row>
    <row r="67" spans="2:43" ht="165.75" x14ac:dyDescent="0.2">
      <c r="B67" s="425" t="s">
        <v>430</v>
      </c>
      <c r="C67" s="428" t="s">
        <v>430</v>
      </c>
      <c r="D67" s="143">
        <v>44</v>
      </c>
      <c r="E67" s="211" t="s">
        <v>428</v>
      </c>
      <c r="F67" s="154" t="s">
        <v>429</v>
      </c>
      <c r="G67" s="136" t="s">
        <v>604</v>
      </c>
      <c r="H67" s="143" t="s">
        <v>563</v>
      </c>
      <c r="I67" s="143" t="s">
        <v>565</v>
      </c>
      <c r="J67" s="154" t="s">
        <v>123</v>
      </c>
      <c r="K67" s="143" t="s">
        <v>624</v>
      </c>
      <c r="L67" s="155">
        <v>365</v>
      </c>
      <c r="M67" s="188" t="str">
        <f t="shared" ref="M67:M75" si="115">IF(L67&lt;=0,"",IF(L67&lt;=2,"Muy Baja",IF(L67&lt;=24,"Baja",IF(L67&lt;=500,"Media",IF(L67&lt;=5000,"Alta","Muy Alta")))))</f>
        <v>Media</v>
      </c>
      <c r="N67" s="189">
        <f t="shared" ref="N67:N75" si="116">IF(M67="","",IF(M67="Muy Baja",0.2,IF(M67="Baja",0.4,IF(M67="Media",0.6,IF(M67="Alta",0.8,IF(M67="Muy Alta",1,))))))</f>
        <v>0.6</v>
      </c>
      <c r="O67" s="223" t="s">
        <v>143</v>
      </c>
      <c r="P67" s="153" t="s">
        <v>143</v>
      </c>
      <c r="Q67" s="196" t="str">
        <f>IF(OR(P67='Tabla Impacto'!$C$11,P67='Tabla Impacto'!$D$11),"Leve",IF(OR(P67='Tabla Impacto'!$C$12,P67='Tabla Impacto'!$D$12),"Menor",IF(OR(P67='Tabla Impacto'!$C$13,P67='Tabla Impacto'!$D$13),"Moderado",IF(OR(P67='Tabla Impacto'!$C$14,P67='Tabla Impacto'!$D$14),"Mayor",IF(OR(P67='Tabla Impacto'!$C$15,P67='Tabla Impacto'!$D$15),"Catastrófico","")))))</f>
        <v>Leve</v>
      </c>
      <c r="R67" s="189">
        <f t="shared" ref="R67:R75" si="117">IF(Q67="","",IF(Q67="Leve",0.2,IF(Q67="Menor",0.4,IF(Q67="Moderado",0.6,IF(Q67="Mayor",0.8,IF(Q67="Catastrófico",1,))))))</f>
        <v>0.2</v>
      </c>
      <c r="S67" s="247" t="str">
        <f t="shared" ref="S67:S75" si="118">IF(OR(AND(M67="Muy Baja",Q67="Leve"),AND(M67="Muy Baja",Q67="Menor"),AND(M67="Baja",Q67="Leve")),"Bajo",IF(OR(AND(M67="Muy baja",Q67="Moderado"),AND(M67="Baja",Q67="Menor"),AND(M67="Baja",Q67="Moderado"),AND(M67="Media",Q67="Leve"),AND(M67="Media",Q67="Menor"),AND(M67="Media",Q67="Moderado"),AND(M67="Alta",Q67="Leve"),AND(M67="Alta",Q67="Menor")),"Moderado",IF(OR(AND(M67="Muy Baja",Q67="Mayor"),AND(M67="Baja",Q67="Mayor"),AND(M67="Media",Q67="Mayor"),AND(M67="Alta",Q67="Moderado"),AND(M67="Alta",Q67="Mayor"),AND(M67="Muy Alta",Q67="Leve"),AND(M67="Muy Alta",Q67="Menor"),AND(M67="Muy Alta",Q67="Moderado"),AND(M67="Muy Alta",Q67="Mayor")),"Alto",IF(OR(AND(M67="Muy Baja",Q67="Catastrófico"),AND(M67="Baja",Q67="Catastrófico"),AND(M67="Media",Q67="Catastrófico"),AND(M67="Alta",Q67="Catastrófico"),AND(M67="Muy Alta",Q67="Catastrófico")),"Extremo",""))))</f>
        <v>Moderado</v>
      </c>
      <c r="T67" s="141">
        <v>1</v>
      </c>
      <c r="U67" s="144" t="s">
        <v>431</v>
      </c>
      <c r="V67" s="146" t="str">
        <f t="shared" si="109"/>
        <v>Probabilidad</v>
      </c>
      <c r="W67" s="147" t="s">
        <v>12</v>
      </c>
      <c r="X67" s="147" t="s">
        <v>7</v>
      </c>
      <c r="Y67" s="148" t="str">
        <f>IF(AND(W67="Preventivo",X67="Automático"),"50%",IF(AND(W67="Preventivo",X67="Manual"),"40%",IF(AND(W67="Detectivo",X67="Automático"),"40%",IF(AND(W67="Detectivo",X67="Manual"),"30%",IF(AND(W67="Correctivo",X67="Automático"),"35%",IF(AND(W67="Correctivo",X67="Manual"),"25%",""))))))</f>
        <v>40%</v>
      </c>
      <c r="Z67" s="161" t="s">
        <v>17</v>
      </c>
      <c r="AA67" s="162" t="s">
        <v>20</v>
      </c>
      <c r="AB67" s="163" t="s">
        <v>114</v>
      </c>
      <c r="AC67" s="145" t="s">
        <v>432</v>
      </c>
      <c r="AD67" s="164">
        <f t="shared" ref="AD67:AD75" si="119">IFERROR(IF(V67="Probabilidad",(N67-(+N67*Y67)),IF(V67="Impacto",N67,"")),"")</f>
        <v>0.36</v>
      </c>
      <c r="AE67" s="165" t="str">
        <f t="shared" ref="AE67:AE75" si="120">IFERROR(IF(AD67="","",IF(AD67&lt;=0.2,"Muy Baja",IF(AD67&lt;=0.4,"Baja",IF(AD67&lt;=0.6,"Media",IF(AD67&lt;=0.8,"Alta","Muy Alta"))))),"")</f>
        <v>Baja</v>
      </c>
      <c r="AF67" s="148">
        <f t="shared" ref="AF67:AF75" si="121">+AD67</f>
        <v>0.36</v>
      </c>
      <c r="AG67" s="166" t="str">
        <f t="shared" ref="AG67:AG75" si="122">IFERROR(IF(AH67="","",IF(AH67&lt;=0.2,"Leve",IF(AH67&lt;=0.4,"Menor",IF(AH67&lt;=0.6,"Moderado",IF(AH67&lt;=0.8,"Mayor","Catastrófico"))))),"")</f>
        <v>Leve</v>
      </c>
      <c r="AH67" s="148">
        <f t="shared" ref="AH67:AH75" si="123">IFERROR(IF(V67="Impacto",(R67-(+R67*Y67)),IF(V67="Probabilidad",R67,"")),"")</f>
        <v>0.2</v>
      </c>
      <c r="AI67" s="167" t="str">
        <f t="shared" ref="AI67:AI75" si="124">IFERROR(IF(OR(AND(AE67="Muy Baja",AG67="Leve"),AND(AE67="Muy Baja",AG67="Menor"),AND(AE67="Baja",AG67="Leve")),"Bajo",IF(OR(AND(AE67="Muy baja",AG67="Moderado"),AND(AE67="Baja",AG67="Menor"),AND(AE67="Baja",AG67="Moderado"),AND(AE67="Media",AG67="Leve"),AND(AE67="Media",AG67="Menor"),AND(AE67="Media",AG67="Moderado"),AND(AE67="Alta",AG67="Leve"),AND(AE67="Alta",AG67="Menor")),"Moderado",IF(OR(AND(AE67="Muy Baja",AG67="Mayor"),AND(AE67="Baja",AG67="Mayor"),AND(AE67="Media",AG67="Mayor"),AND(AE67="Alta",AG67="Moderado"),AND(AE67="Alta",AG67="Mayor"),AND(AE67="Muy Alta",AG67="Leve"),AND(AE67="Muy Alta",AG67="Menor"),AND(AE67="Muy Alta",AG67="Moderado"),AND(AE67="Muy Alta",AG67="Mayor")),"Alto",IF(OR(AND(AE67="Muy Baja",AG67="Catastrófico"),AND(AE67="Baja",AG67="Catastrófico"),AND(AE67="Media",AG67="Catastrófico"),AND(AE67="Alta",AG67="Catastrófico"),AND(AE67="Muy Alta",AG67="Catastrófico")),"Extremo","")))),"")</f>
        <v>Bajo</v>
      </c>
      <c r="AJ67" s="167" t="str">
        <f>$AI$67</f>
        <v>Bajo</v>
      </c>
      <c r="AK67" s="285" t="s">
        <v>29</v>
      </c>
      <c r="AL67" s="144"/>
      <c r="AM67" s="144"/>
      <c r="AN67" s="181"/>
      <c r="AO67" s="181"/>
      <c r="AP67" s="144"/>
      <c r="AQ67" s="183"/>
    </row>
    <row r="68" spans="2:43" ht="136.5" customHeight="1" x14ac:dyDescent="0.2">
      <c r="B68" s="425"/>
      <c r="C68" s="428"/>
      <c r="D68" s="143">
        <v>45</v>
      </c>
      <c r="E68" s="212" t="s">
        <v>721</v>
      </c>
      <c r="F68" s="140" t="s">
        <v>753</v>
      </c>
      <c r="G68" s="136" t="s">
        <v>605</v>
      </c>
      <c r="H68" s="143" t="s">
        <v>563</v>
      </c>
      <c r="I68" s="143" t="s">
        <v>565</v>
      </c>
      <c r="J68" s="199" t="s">
        <v>123</v>
      </c>
      <c r="K68" s="143" t="s">
        <v>624</v>
      </c>
      <c r="L68" s="198">
        <v>365</v>
      </c>
      <c r="M68" s="192" t="str">
        <f t="shared" si="115"/>
        <v>Media</v>
      </c>
      <c r="N68" s="190">
        <f t="shared" si="116"/>
        <v>0.6</v>
      </c>
      <c r="O68" s="223" t="s">
        <v>143</v>
      </c>
      <c r="P68" s="153" t="s">
        <v>143</v>
      </c>
      <c r="Q68" s="196" t="str">
        <f>IF(OR(P68='Tabla Impacto'!$C$11,P68='Tabla Impacto'!$D$11),"Leve",IF(OR(P68='Tabla Impacto'!$C$12,P68='Tabla Impacto'!$D$12),"Menor",IF(OR(P68='Tabla Impacto'!$C$13,P68='Tabla Impacto'!$D$13),"Moderado",IF(OR(P68='Tabla Impacto'!$C$14,P68='Tabla Impacto'!$D$14),"Mayor",IF(OR(P68='Tabla Impacto'!$C$15,P68='Tabla Impacto'!$D$15),"Catastrófico","")))))</f>
        <v>Leve</v>
      </c>
      <c r="R68" s="190">
        <f t="shared" si="117"/>
        <v>0.2</v>
      </c>
      <c r="S68" s="252" t="str">
        <f t="shared" si="118"/>
        <v>Moderado</v>
      </c>
      <c r="T68" s="143">
        <v>1</v>
      </c>
      <c r="U68" s="140" t="s">
        <v>433</v>
      </c>
      <c r="V68" s="149" t="str">
        <f t="shared" si="109"/>
        <v>Probabilidad</v>
      </c>
      <c r="W68" s="168" t="s">
        <v>12</v>
      </c>
      <c r="X68" s="168" t="s">
        <v>7</v>
      </c>
      <c r="Y68" s="150" t="str">
        <f>IF(AND(W68="Preventivo",X68="Automático"),"50%",IF(AND(W68="Preventivo",X68="Manual"),"40%",IF(AND(W68="Detectivo",X68="Automático"),"40%",IF(AND(W68="Detectivo",X68="Manual"),"30%",IF(AND(W68="Correctivo",X68="Automático"),"35%",IF(AND(W68="Correctivo",X68="Manual"),"25%",""))))))</f>
        <v>40%</v>
      </c>
      <c r="Z68" s="169" t="s">
        <v>17</v>
      </c>
      <c r="AA68" s="170" t="s">
        <v>20</v>
      </c>
      <c r="AB68" s="171" t="s">
        <v>114</v>
      </c>
      <c r="AC68" s="145" t="s">
        <v>434</v>
      </c>
      <c r="AD68" s="164">
        <f t="shared" si="119"/>
        <v>0.36</v>
      </c>
      <c r="AE68" s="151" t="str">
        <f t="shared" si="120"/>
        <v>Baja</v>
      </c>
      <c r="AF68" s="81">
        <f t="shared" si="121"/>
        <v>0.36</v>
      </c>
      <c r="AG68" s="82" t="str">
        <f t="shared" si="122"/>
        <v>Leve</v>
      </c>
      <c r="AH68" s="81">
        <f t="shared" si="123"/>
        <v>0.2</v>
      </c>
      <c r="AI68" s="83" t="str">
        <f t="shared" si="124"/>
        <v>Bajo</v>
      </c>
      <c r="AJ68" s="83" t="str">
        <f>$AI$68</f>
        <v>Bajo</v>
      </c>
      <c r="AK68" s="285" t="s">
        <v>29</v>
      </c>
      <c r="AL68" s="140" t="s">
        <v>435</v>
      </c>
      <c r="AM68" s="140" t="s">
        <v>436</v>
      </c>
      <c r="AN68" s="239" t="s">
        <v>627</v>
      </c>
      <c r="AO68" s="84" t="s">
        <v>407</v>
      </c>
      <c r="AP68" s="140" t="s">
        <v>437</v>
      </c>
      <c r="AQ68" s="142" t="s">
        <v>38</v>
      </c>
    </row>
    <row r="69" spans="2:43" ht="160.5" customHeight="1" x14ac:dyDescent="0.2">
      <c r="B69" s="393" t="s">
        <v>441</v>
      </c>
      <c r="C69" s="414" t="s">
        <v>441</v>
      </c>
      <c r="D69" s="143">
        <v>46</v>
      </c>
      <c r="E69" s="212" t="s">
        <v>754</v>
      </c>
      <c r="F69" s="140" t="s">
        <v>439</v>
      </c>
      <c r="G69" s="136" t="s">
        <v>606</v>
      </c>
      <c r="H69" s="143" t="s">
        <v>563</v>
      </c>
      <c r="I69" s="143" t="s">
        <v>565</v>
      </c>
      <c r="J69" s="140" t="s">
        <v>118</v>
      </c>
      <c r="K69" s="143" t="s">
        <v>624</v>
      </c>
      <c r="L69" s="142">
        <f>360*12</f>
        <v>4320</v>
      </c>
      <c r="M69" s="192" t="str">
        <f t="shared" si="115"/>
        <v>Alta</v>
      </c>
      <c r="N69" s="189">
        <f t="shared" si="116"/>
        <v>0.8</v>
      </c>
      <c r="O69" s="156" t="s">
        <v>145</v>
      </c>
      <c r="P69" s="153" t="s">
        <v>145</v>
      </c>
      <c r="Q69" s="196" t="str">
        <f>IF(OR(P69='Tabla Impacto'!$C$11,P69='Tabla Impacto'!$D$11),"Leve",IF(OR(P69='Tabla Impacto'!$C$12,P69='Tabla Impacto'!$D$12),"Menor",IF(OR(P69='Tabla Impacto'!$C$13,P69='Tabla Impacto'!$D$13),"Moderado",IF(OR(P69='Tabla Impacto'!$C$14,P69='Tabla Impacto'!$D$14),"Mayor",IF(OR(P69='Tabla Impacto'!$C$15,P69='Tabla Impacto'!$D$15),"Catastrófico","")))))</f>
        <v>Moderado</v>
      </c>
      <c r="R69" s="189">
        <f t="shared" si="117"/>
        <v>0.6</v>
      </c>
      <c r="S69" s="247" t="str">
        <f t="shared" si="118"/>
        <v>Alto</v>
      </c>
      <c r="T69" s="141">
        <v>1</v>
      </c>
      <c r="U69" s="144" t="s">
        <v>442</v>
      </c>
      <c r="V69" s="149" t="str">
        <f t="shared" si="109"/>
        <v>Probabilidad</v>
      </c>
      <c r="W69" s="147" t="s">
        <v>12</v>
      </c>
      <c r="X69" s="147" t="s">
        <v>7</v>
      </c>
      <c r="Y69" s="148" t="str">
        <f>IF(AND(W69="Preventivo",X69="Automático"),"50%",IF(AND(W69="Preventivo",X69="Manual"),"40%",IF(AND(W69="Detectivo",X69="Automático"),"40%",IF(AND(W69="Detectivo",X69="Manual"),"30%",IF(AND(W69="Correctivo",X69="Automático"),"35%",IF(AND(W69="Correctivo",X69="Manual"),"25%",""))))))</f>
        <v>40%</v>
      </c>
      <c r="Z69" s="161" t="s">
        <v>17</v>
      </c>
      <c r="AA69" s="162" t="s">
        <v>20</v>
      </c>
      <c r="AB69" s="163" t="s">
        <v>114</v>
      </c>
      <c r="AC69" s="145" t="s">
        <v>443</v>
      </c>
      <c r="AD69" s="164">
        <f t="shared" si="119"/>
        <v>0.48</v>
      </c>
      <c r="AE69" s="165" t="str">
        <f t="shared" si="120"/>
        <v>Media</v>
      </c>
      <c r="AF69" s="148">
        <f t="shared" si="121"/>
        <v>0.48</v>
      </c>
      <c r="AG69" s="166" t="str">
        <f t="shared" si="122"/>
        <v>Moderado</v>
      </c>
      <c r="AH69" s="148">
        <f t="shared" si="123"/>
        <v>0.6</v>
      </c>
      <c r="AI69" s="167" t="str">
        <f t="shared" si="124"/>
        <v>Moderado</v>
      </c>
      <c r="AJ69" s="167" t="str">
        <f>$AI$69</f>
        <v>Moderado</v>
      </c>
      <c r="AK69" s="147" t="s">
        <v>30</v>
      </c>
      <c r="AL69" s="144"/>
      <c r="AM69" s="144"/>
      <c r="AN69" s="181"/>
      <c r="AO69" s="181"/>
      <c r="AP69" s="144"/>
      <c r="AQ69" s="183"/>
    </row>
    <row r="70" spans="2:43" ht="141.75" customHeight="1" x14ac:dyDescent="0.2">
      <c r="B70" s="393"/>
      <c r="C70" s="414"/>
      <c r="D70" s="143">
        <v>47</v>
      </c>
      <c r="E70" s="212" t="s">
        <v>438</v>
      </c>
      <c r="F70" s="140" t="s">
        <v>440</v>
      </c>
      <c r="G70" s="136" t="s">
        <v>607</v>
      </c>
      <c r="H70" s="143" t="s">
        <v>563</v>
      </c>
      <c r="I70" s="143" t="s">
        <v>565</v>
      </c>
      <c r="J70" s="140" t="s">
        <v>118</v>
      </c>
      <c r="K70" s="143" t="s">
        <v>624</v>
      </c>
      <c r="L70" s="142">
        <f>360*12</f>
        <v>4320</v>
      </c>
      <c r="M70" s="188" t="str">
        <f t="shared" si="115"/>
        <v>Alta</v>
      </c>
      <c r="N70" s="190">
        <f t="shared" si="116"/>
        <v>0.8</v>
      </c>
      <c r="O70" s="223" t="s">
        <v>145</v>
      </c>
      <c r="P70" s="153" t="s">
        <v>145</v>
      </c>
      <c r="Q70" s="196" t="str">
        <f>IF(OR(P70='Tabla Impacto'!$C$11,P70='Tabla Impacto'!$D$11),"Leve",IF(OR(P70='Tabla Impacto'!$C$12,P70='Tabla Impacto'!$D$12),"Menor",IF(OR(P70='Tabla Impacto'!$C$13,P70='Tabla Impacto'!$D$13),"Moderado",IF(OR(P70='Tabla Impacto'!$C$14,P70='Tabla Impacto'!$D$14),"Mayor",IF(OR(P70='Tabla Impacto'!$C$15,P70='Tabla Impacto'!$D$15),"Catastrófico","")))))</f>
        <v>Moderado</v>
      </c>
      <c r="R70" s="190">
        <f t="shared" si="117"/>
        <v>0.6</v>
      </c>
      <c r="S70" s="252" t="str">
        <f t="shared" si="118"/>
        <v>Alto</v>
      </c>
      <c r="T70" s="143">
        <v>1</v>
      </c>
      <c r="U70" s="140" t="s">
        <v>444</v>
      </c>
      <c r="V70" s="149" t="str">
        <f t="shared" si="109"/>
        <v>Probabilidad</v>
      </c>
      <c r="W70" s="168" t="s">
        <v>12</v>
      </c>
      <c r="X70" s="168" t="s">
        <v>7</v>
      </c>
      <c r="Y70" s="150" t="str">
        <f>IF(AND(W70="Preventivo",X70="Automático"),"50%",IF(AND(W70="Preventivo",X70="Manual"),"40%",IF(AND(W70="Detectivo",X70="Automático"),"40%",IF(AND(W70="Detectivo",X70="Manual"),"30%",IF(AND(W70="Correctivo",X70="Automático"),"35%",IF(AND(W70="Correctivo",X70="Manual"),"25%",""))))))</f>
        <v>40%</v>
      </c>
      <c r="Z70" s="169" t="s">
        <v>17</v>
      </c>
      <c r="AA70" s="170" t="s">
        <v>20</v>
      </c>
      <c r="AB70" s="171" t="s">
        <v>114</v>
      </c>
      <c r="AC70" s="145" t="s">
        <v>445</v>
      </c>
      <c r="AD70" s="164">
        <f t="shared" si="119"/>
        <v>0.48</v>
      </c>
      <c r="AE70" s="151" t="str">
        <f t="shared" si="120"/>
        <v>Media</v>
      </c>
      <c r="AF70" s="81">
        <f t="shared" si="121"/>
        <v>0.48</v>
      </c>
      <c r="AG70" s="82" t="str">
        <f t="shared" si="122"/>
        <v>Moderado</v>
      </c>
      <c r="AH70" s="81">
        <f t="shared" si="123"/>
        <v>0.6</v>
      </c>
      <c r="AI70" s="83" t="str">
        <f t="shared" si="124"/>
        <v>Moderado</v>
      </c>
      <c r="AJ70" s="83" t="str">
        <f>$AI$70</f>
        <v>Moderado</v>
      </c>
      <c r="AK70" s="147" t="s">
        <v>30</v>
      </c>
      <c r="AL70" s="140"/>
      <c r="AM70" s="144"/>
      <c r="AN70" s="239"/>
      <c r="AO70" s="84"/>
      <c r="AP70" s="140"/>
      <c r="AQ70" s="142"/>
    </row>
    <row r="71" spans="2:43" ht="162.75" customHeight="1" x14ac:dyDescent="0.2">
      <c r="B71" s="425" t="s">
        <v>446</v>
      </c>
      <c r="C71" s="428" t="s">
        <v>446</v>
      </c>
      <c r="D71" s="143">
        <v>48</v>
      </c>
      <c r="E71" s="211" t="s">
        <v>447</v>
      </c>
      <c r="F71" s="154" t="s">
        <v>449</v>
      </c>
      <c r="G71" s="210" t="s">
        <v>608</v>
      </c>
      <c r="H71" s="143" t="s">
        <v>563</v>
      </c>
      <c r="I71" s="143" t="s">
        <v>565</v>
      </c>
      <c r="J71" s="154" t="s">
        <v>118</v>
      </c>
      <c r="K71" s="143" t="s">
        <v>624</v>
      </c>
      <c r="L71" s="155">
        <f>15*2</f>
        <v>30</v>
      </c>
      <c r="M71" s="188" t="str">
        <f t="shared" si="115"/>
        <v>Media</v>
      </c>
      <c r="N71" s="189">
        <f t="shared" si="116"/>
        <v>0.6</v>
      </c>
      <c r="O71" s="156" t="s">
        <v>145</v>
      </c>
      <c r="P71" s="153" t="s">
        <v>145</v>
      </c>
      <c r="Q71" s="196" t="str">
        <f>IF(OR(P71='Tabla Impacto'!$C$11,P71='Tabla Impacto'!$D$11),"Leve",IF(OR(P71='Tabla Impacto'!$C$12,P71='Tabla Impacto'!$D$12),"Menor",IF(OR(P71='Tabla Impacto'!$C$13,P71='Tabla Impacto'!$D$13),"Moderado",IF(OR(P71='Tabla Impacto'!$C$14,P71='Tabla Impacto'!$D$14),"Mayor",IF(OR(P71='Tabla Impacto'!$C$15,P71='Tabla Impacto'!$D$15),"Catastrófico","")))))</f>
        <v>Moderado</v>
      </c>
      <c r="R71" s="189">
        <f t="shared" si="117"/>
        <v>0.6</v>
      </c>
      <c r="S71" s="247" t="str">
        <f t="shared" si="118"/>
        <v>Moderado</v>
      </c>
      <c r="T71" s="141">
        <v>1</v>
      </c>
      <c r="U71" s="144" t="s">
        <v>451</v>
      </c>
      <c r="V71" s="149" t="str">
        <f t="shared" si="109"/>
        <v>Probabilidad</v>
      </c>
      <c r="W71" s="147" t="s">
        <v>12</v>
      </c>
      <c r="X71" s="147" t="s">
        <v>7</v>
      </c>
      <c r="Y71" s="148" t="str">
        <f>IF(AND(W71="Preventivo",X71="Automático"),"50%",IF(AND(W71="Preventivo",X71="Manual"),"40%",IF(AND(W71="Detectivo",X71="Automático"),"40%",IF(AND(W71="Detectivo",X71="Manual"),"30%",IF(AND(W71="Correctivo",X71="Automático"),"35%",IF(AND(W71="Correctivo",X71="Manual"),"25%",""))))))</f>
        <v>40%</v>
      </c>
      <c r="Z71" s="161" t="s">
        <v>17</v>
      </c>
      <c r="AA71" s="162" t="s">
        <v>20</v>
      </c>
      <c r="AB71" s="163" t="s">
        <v>114</v>
      </c>
      <c r="AC71" s="145" t="s">
        <v>452</v>
      </c>
      <c r="AD71" s="164">
        <f t="shared" si="119"/>
        <v>0.36</v>
      </c>
      <c r="AE71" s="165" t="str">
        <f t="shared" si="120"/>
        <v>Baja</v>
      </c>
      <c r="AF71" s="148">
        <f t="shared" si="121"/>
        <v>0.36</v>
      </c>
      <c r="AG71" s="166" t="str">
        <f t="shared" si="122"/>
        <v>Moderado</v>
      </c>
      <c r="AH71" s="148">
        <f t="shared" si="123"/>
        <v>0.6</v>
      </c>
      <c r="AI71" s="83" t="str">
        <f t="shared" si="124"/>
        <v>Moderado</v>
      </c>
      <c r="AJ71" s="83" t="str">
        <f>$AI$71</f>
        <v>Moderado</v>
      </c>
      <c r="AK71" s="125" t="s">
        <v>30</v>
      </c>
      <c r="AL71" s="144"/>
      <c r="AM71" s="144"/>
      <c r="AN71" s="181"/>
      <c r="AO71" s="181"/>
      <c r="AP71" s="144"/>
      <c r="AQ71" s="183"/>
    </row>
    <row r="72" spans="2:43" ht="144.75" customHeight="1" x14ac:dyDescent="0.2">
      <c r="B72" s="425"/>
      <c r="C72" s="428"/>
      <c r="D72" s="143">
        <v>49</v>
      </c>
      <c r="E72" s="212" t="s">
        <v>448</v>
      </c>
      <c r="F72" s="140" t="s">
        <v>450</v>
      </c>
      <c r="G72" s="136" t="s">
        <v>609</v>
      </c>
      <c r="H72" s="143" t="s">
        <v>563</v>
      </c>
      <c r="I72" s="143" t="s">
        <v>565</v>
      </c>
      <c r="J72" s="140" t="s">
        <v>118</v>
      </c>
      <c r="K72" s="143" t="s">
        <v>624</v>
      </c>
      <c r="L72" s="198">
        <v>400</v>
      </c>
      <c r="M72" s="192" t="str">
        <f t="shared" si="115"/>
        <v>Media</v>
      </c>
      <c r="N72" s="190">
        <f t="shared" si="116"/>
        <v>0.6</v>
      </c>
      <c r="O72" s="223" t="s">
        <v>145</v>
      </c>
      <c r="P72" s="153" t="s">
        <v>145</v>
      </c>
      <c r="Q72" s="191" t="str">
        <f>IF(OR(P72='Tabla Impacto'!$C$11,P72='Tabla Impacto'!$D$11),"Leve",IF(OR(P72='Tabla Impacto'!$C$12,P72='Tabla Impacto'!$D$12),"Menor",IF(OR(P72='Tabla Impacto'!$C$13,P72='Tabla Impacto'!$D$13),"Moderado",IF(OR(P72='Tabla Impacto'!$C$14,P72:P72='Tabla Impacto'!$D$14),"Mayor",IF(OR(P72='Tabla Impacto'!$C$15,P72='Tabla Impacto'!$D$15),"Catastrófico","")))))</f>
        <v>Moderado</v>
      </c>
      <c r="R72" s="190">
        <f t="shared" si="117"/>
        <v>0.6</v>
      </c>
      <c r="S72" s="252" t="str">
        <f t="shared" si="118"/>
        <v>Moderado</v>
      </c>
      <c r="T72" s="143">
        <v>1</v>
      </c>
      <c r="U72" s="140" t="s">
        <v>453</v>
      </c>
      <c r="V72" s="149" t="str">
        <f t="shared" si="109"/>
        <v>Probabilidad</v>
      </c>
      <c r="W72" s="168" t="s">
        <v>12</v>
      </c>
      <c r="X72" s="168" t="s">
        <v>7</v>
      </c>
      <c r="Y72" s="148" t="str">
        <f t="shared" ref="Y72" si="125">IF(AND(W72="Preventivo",X72="Automático"),"50%",IF(AND(W72="Preventivo",X72="Manual"),"40%",IF(AND(W72="Detectivo",X72="Automático"),"40%",IF(AND(W72="Detectivo",X72="Manual"),"30%",IF(AND(W72="Correctivo",X72="Automático"),"35%",IF(AND(W72="Correctivo",X72="Manual"),"25%",""))))))</f>
        <v>40%</v>
      </c>
      <c r="Z72" s="161" t="s">
        <v>17</v>
      </c>
      <c r="AA72" s="162" t="s">
        <v>20</v>
      </c>
      <c r="AB72" s="163" t="s">
        <v>114</v>
      </c>
      <c r="AC72" s="145" t="s">
        <v>454</v>
      </c>
      <c r="AD72" s="187">
        <f t="shared" si="119"/>
        <v>0.36</v>
      </c>
      <c r="AE72" s="151" t="str">
        <f t="shared" si="120"/>
        <v>Baja</v>
      </c>
      <c r="AF72" s="81">
        <f t="shared" si="121"/>
        <v>0.36</v>
      </c>
      <c r="AG72" s="82" t="str">
        <f t="shared" si="122"/>
        <v>Moderado</v>
      </c>
      <c r="AH72" s="81">
        <f t="shared" si="123"/>
        <v>0.6</v>
      </c>
      <c r="AI72" s="83" t="str">
        <f t="shared" si="124"/>
        <v>Moderado</v>
      </c>
      <c r="AJ72" s="83" t="str">
        <f>$AI$72</f>
        <v>Moderado</v>
      </c>
      <c r="AK72" s="125" t="s">
        <v>30</v>
      </c>
      <c r="AL72" s="140"/>
      <c r="AM72" s="142"/>
      <c r="AN72" s="181"/>
      <c r="AO72" s="84"/>
      <c r="AP72" s="182"/>
      <c r="AQ72" s="142"/>
    </row>
    <row r="73" spans="2:43" ht="133.5" customHeight="1" x14ac:dyDescent="0.2">
      <c r="B73" s="389" t="s">
        <v>455</v>
      </c>
      <c r="C73" s="458" t="s">
        <v>455</v>
      </c>
      <c r="D73" s="143">
        <v>50</v>
      </c>
      <c r="E73" s="212" t="s">
        <v>456</v>
      </c>
      <c r="F73" s="136" t="s">
        <v>457</v>
      </c>
      <c r="G73" s="136" t="s">
        <v>610</v>
      </c>
      <c r="H73" s="143" t="s">
        <v>563</v>
      </c>
      <c r="I73" s="143" t="s">
        <v>565</v>
      </c>
      <c r="J73" s="140" t="s">
        <v>118</v>
      </c>
      <c r="K73" s="143" t="s">
        <v>624</v>
      </c>
      <c r="L73" s="142">
        <v>12</v>
      </c>
      <c r="M73" s="192" t="str">
        <f t="shared" si="115"/>
        <v>Baja</v>
      </c>
      <c r="N73" s="193">
        <f t="shared" si="116"/>
        <v>0.4</v>
      </c>
      <c r="O73" s="194" t="s">
        <v>146</v>
      </c>
      <c r="P73" s="197" t="s">
        <v>146</v>
      </c>
      <c r="Q73" s="191" t="str">
        <f>IF(OR(P73='Tabla Impacto'!$C$11,P73='Tabla Impacto'!$D$11),"Leve",IF(OR(P73='Tabla Impacto'!$C$12,P73='Tabla Impacto'!$D$12),"Menor",IF(OR(P73='Tabla Impacto'!$C$13,P73='Tabla Impacto'!$D$13),"Moderado",IF(OR(P73='Tabla Impacto'!$C$14,P73:P73='Tabla Impacto'!$D$14),"Mayor",IF(OR(P73='Tabla Impacto'!$C$15,P73='Tabla Impacto'!$D$15),"Catastrófico","")))))</f>
        <v>Mayor</v>
      </c>
      <c r="R73" s="189">
        <f t="shared" si="117"/>
        <v>0.8</v>
      </c>
      <c r="S73" s="247" t="str">
        <f t="shared" si="118"/>
        <v>Alto</v>
      </c>
      <c r="T73" s="141">
        <v>1</v>
      </c>
      <c r="U73" s="140" t="s">
        <v>458</v>
      </c>
      <c r="V73" s="146" t="str">
        <f t="shared" si="109"/>
        <v>Probabilidad</v>
      </c>
      <c r="W73" s="147" t="s">
        <v>12</v>
      </c>
      <c r="X73" s="147" t="s">
        <v>7</v>
      </c>
      <c r="Y73" s="148" t="str">
        <f>IF(AND(W73="Preventivo",X73="Automático"),"50%",IF(AND(W73="Preventivo",X73="Manual"),"40%",IF(AND(W73="Detectivo",X73="Automático"),"40%",IF(AND(W73="Detectivo",X73="Manual"),"30%",IF(AND(W73="Correctivo",X73="Automático"),"35%",IF(AND(W73="Correctivo",X73="Manual"),"25%",""))))))</f>
        <v>40%</v>
      </c>
      <c r="Z73" s="161" t="s">
        <v>17</v>
      </c>
      <c r="AA73" s="162" t="s">
        <v>20</v>
      </c>
      <c r="AB73" s="163" t="s">
        <v>115</v>
      </c>
      <c r="AC73" s="145" t="s">
        <v>459</v>
      </c>
      <c r="AD73" s="164">
        <f t="shared" si="119"/>
        <v>0.24</v>
      </c>
      <c r="AE73" s="165" t="str">
        <f t="shared" si="120"/>
        <v>Baja</v>
      </c>
      <c r="AF73" s="148">
        <f t="shared" si="121"/>
        <v>0.24</v>
      </c>
      <c r="AG73" s="166" t="str">
        <f t="shared" si="122"/>
        <v>Mayor</v>
      </c>
      <c r="AH73" s="148">
        <f t="shared" si="123"/>
        <v>0.8</v>
      </c>
      <c r="AI73" s="167" t="str">
        <f t="shared" si="124"/>
        <v>Alto</v>
      </c>
      <c r="AJ73" s="167" t="str">
        <f>$AI$73</f>
        <v>Alto</v>
      </c>
      <c r="AK73" s="125" t="s">
        <v>129</v>
      </c>
      <c r="AL73" s="140" t="s">
        <v>460</v>
      </c>
      <c r="AM73" s="144" t="s">
        <v>461</v>
      </c>
      <c r="AN73" s="239" t="s">
        <v>627</v>
      </c>
      <c r="AO73" s="84" t="s">
        <v>407</v>
      </c>
      <c r="AP73" s="144" t="s">
        <v>462</v>
      </c>
      <c r="AQ73" s="142" t="s">
        <v>38</v>
      </c>
    </row>
    <row r="74" spans="2:43" ht="133.5" customHeight="1" x14ac:dyDescent="0.2">
      <c r="B74" s="390"/>
      <c r="C74" s="459"/>
      <c r="D74" s="143">
        <v>51</v>
      </c>
      <c r="E74" s="212" t="s">
        <v>673</v>
      </c>
      <c r="F74" s="136" t="s">
        <v>663</v>
      </c>
      <c r="G74" s="136" t="s">
        <v>674</v>
      </c>
      <c r="H74" s="143" t="s">
        <v>563</v>
      </c>
      <c r="I74" s="143" t="s">
        <v>565</v>
      </c>
      <c r="J74" s="140" t="s">
        <v>118</v>
      </c>
      <c r="K74" s="143" t="s">
        <v>624</v>
      </c>
      <c r="L74" s="142">
        <v>19</v>
      </c>
      <c r="M74" s="192" t="str">
        <f t="shared" ref="M74" si="126">IF(L74&lt;=0,"",IF(L74&lt;=2,"Muy Baja",IF(L74&lt;=24,"Baja",IF(L74&lt;=500,"Media",IF(L74&lt;=5000,"Alta","Muy Alta")))))</f>
        <v>Baja</v>
      </c>
      <c r="N74" s="193">
        <f t="shared" ref="N74" si="127">IF(M74="","",IF(M74="Muy Baja",0.2,IF(M74="Baja",0.4,IF(M74="Media",0.6,IF(M74="Alta",0.8,IF(M74="Muy Alta",1,))))))</f>
        <v>0.4</v>
      </c>
      <c r="O74" s="286" t="s">
        <v>145</v>
      </c>
      <c r="P74" s="306" t="s">
        <v>145</v>
      </c>
      <c r="Q74" s="191" t="str">
        <f>IF(OR(P74='Tabla Impacto'!$C$11,P74='Tabla Impacto'!$D$11),"Leve",IF(OR(P74='Tabla Impacto'!$C$12,P74='Tabla Impacto'!$D$12),"Menor",IF(OR(P74='Tabla Impacto'!$C$13,P74='Tabla Impacto'!$D$13),"Moderado",IF(OR(P74='Tabla Impacto'!$C$14,P74:P74='Tabla Impacto'!$D$14),"Mayor",IF(OR(P74='Tabla Impacto'!$C$15,P74='Tabla Impacto'!$D$15),"Catastrófico","")))))</f>
        <v>Moderado</v>
      </c>
      <c r="R74" s="189">
        <f t="shared" ref="R74" si="128">IF(Q74="","",IF(Q74="Leve",0.2,IF(Q74="Menor",0.4,IF(Q74="Moderado",0.6,IF(Q74="Mayor",0.8,IF(Q74="Catastrófico",1,))))))</f>
        <v>0.6</v>
      </c>
      <c r="S74" s="247" t="str">
        <f t="shared" ref="S74" si="129">IF(OR(AND(M74="Muy Baja",Q74="Leve"),AND(M74="Muy Baja",Q74="Menor"),AND(M74="Baja",Q74="Leve")),"Bajo",IF(OR(AND(M74="Muy baja",Q74="Moderado"),AND(M74="Baja",Q74="Menor"),AND(M74="Baja",Q74="Moderado"),AND(M74="Media",Q74="Leve"),AND(M74="Media",Q74="Menor"),AND(M74="Media",Q74="Moderado"),AND(M74="Alta",Q74="Leve"),AND(M74="Alta",Q74="Menor")),"Moderado",IF(OR(AND(M74="Muy Baja",Q74="Mayor"),AND(M74="Baja",Q74="Mayor"),AND(M74="Media",Q74="Mayor"),AND(M74="Alta",Q74="Moderado"),AND(M74="Alta",Q74="Mayor"),AND(M74="Muy Alta",Q74="Leve"),AND(M74="Muy Alta",Q74="Menor"),AND(M74="Muy Alta",Q74="Moderado"),AND(M74="Muy Alta",Q74="Mayor")),"Alto",IF(OR(AND(M74="Muy Baja",Q74="Catastrófico"),AND(M74="Baja",Q74="Catastrófico"),AND(M74="Media",Q74="Catastrófico"),AND(M74="Alta",Q74="Catastrófico"),AND(M74="Muy Alta",Q74="Catastrófico")),"Extremo",""))))</f>
        <v>Moderado</v>
      </c>
      <c r="T74" s="141">
        <v>1</v>
      </c>
      <c r="U74" s="140" t="s">
        <v>675</v>
      </c>
      <c r="V74" s="146" t="str">
        <f t="shared" ref="V74" si="130">IF(OR(W74="Preventivo",W74="Detectivo"),"Probabilidad",IF(W74="Correctivo","Impacto",""))</f>
        <v>Probabilidad</v>
      </c>
      <c r="W74" s="147" t="s">
        <v>12</v>
      </c>
      <c r="X74" s="147" t="s">
        <v>7</v>
      </c>
      <c r="Y74" s="148" t="str">
        <f>IF(AND(W74="Preventivo",X74="Automático"),"50%",IF(AND(W74="Preventivo",X74="Manual"),"40%",IF(AND(W74="Detectivo",X74="Automático"),"40%",IF(AND(W74="Detectivo",X74="Manual"),"30%",IF(AND(W74="Correctivo",X74="Automático"),"35%",IF(AND(W74="Correctivo",X74="Manual"),"25%",""))))))</f>
        <v>40%</v>
      </c>
      <c r="Z74" s="161" t="s">
        <v>17</v>
      </c>
      <c r="AA74" s="162" t="s">
        <v>20</v>
      </c>
      <c r="AB74" s="163" t="s">
        <v>115</v>
      </c>
      <c r="AC74" s="144" t="s">
        <v>683</v>
      </c>
      <c r="AD74" s="164">
        <f t="shared" ref="AD74" si="131">IFERROR(IF(V74="Probabilidad",(N74-(+N74*Y74)),IF(V74="Impacto",N74,"")),"")</f>
        <v>0.24</v>
      </c>
      <c r="AE74" s="165" t="str">
        <f t="shared" ref="AE74" si="132">IFERROR(IF(AD74="","",IF(AD74&lt;=0.2,"Muy Baja",IF(AD74&lt;=0.4,"Baja",IF(AD74&lt;=0.6,"Media",IF(AD74&lt;=0.8,"Alta","Muy Alta"))))),"")</f>
        <v>Baja</v>
      </c>
      <c r="AF74" s="148">
        <f t="shared" ref="AF74" si="133">+AD74</f>
        <v>0.24</v>
      </c>
      <c r="AG74" s="166" t="str">
        <f t="shared" ref="AG74" si="134">IFERROR(IF(AH74="","",IF(AH74&lt;=0.2,"Leve",IF(AH74&lt;=0.4,"Menor",IF(AH74&lt;=0.6,"Moderado",IF(AH74&lt;=0.8,"Mayor","Catastrófico"))))),"")</f>
        <v>Moderado</v>
      </c>
      <c r="AH74" s="148">
        <f t="shared" ref="AH74" si="135">IFERROR(IF(V74="Impacto",(R74-(+R74*Y74)),IF(V74="Probabilidad",R74,"")),"")</f>
        <v>0.6</v>
      </c>
      <c r="AI74" s="167" t="str">
        <f t="shared" ref="AI74" si="136">IFERROR(IF(OR(AND(AE74="Muy Baja",AG74="Leve"),AND(AE74="Muy Baja",AG74="Menor"),AND(AE74="Baja",AG74="Leve")),"Bajo",IF(OR(AND(AE74="Muy baja",AG74="Moderado"),AND(AE74="Baja",AG74="Menor"),AND(AE74="Baja",AG74="Moderado"),AND(AE74="Media",AG74="Leve"),AND(AE74="Media",AG74="Menor"),AND(AE74="Media",AG74="Moderado"),AND(AE74="Alta",AG74="Leve"),AND(AE74="Alta",AG74="Menor")),"Moderado",IF(OR(AND(AE74="Muy Baja",AG74="Mayor"),AND(AE74="Baja",AG74="Mayor"),AND(AE74="Media",AG74="Mayor"),AND(AE74="Alta",AG74="Moderado"),AND(AE74="Alta",AG74="Mayor"),AND(AE74="Muy Alta",AG74="Leve"),AND(AE74="Muy Alta",AG74="Menor"),AND(AE74="Muy Alta",AG74="Moderado"),AND(AE74="Muy Alta",AG74="Mayor")),"Alto",IF(OR(AND(AE74="Muy Baja",AG74="Catastrófico"),AND(AE74="Baja",AG74="Catastrófico"),AND(AE74="Media",AG74="Catastrófico"),AND(AE74="Alta",AG74="Catastrófico"),AND(AE74="Muy Alta",AG74="Catastrófico")),"Extremo","")))),"")</f>
        <v>Moderado</v>
      </c>
      <c r="AJ74" s="167" t="str">
        <f>$AI$74</f>
        <v>Moderado</v>
      </c>
      <c r="AK74" s="234"/>
      <c r="AL74" s="154"/>
      <c r="AM74" s="154"/>
      <c r="AN74" s="305"/>
      <c r="AO74" s="301"/>
      <c r="AP74" s="154"/>
      <c r="AQ74" s="155"/>
    </row>
    <row r="75" spans="2:43" ht="132.75" customHeight="1" x14ac:dyDescent="0.2">
      <c r="B75" s="391" t="s">
        <v>463</v>
      </c>
      <c r="C75" s="416" t="s">
        <v>468</v>
      </c>
      <c r="D75" s="393">
        <v>52</v>
      </c>
      <c r="E75" s="455" t="s">
        <v>464</v>
      </c>
      <c r="F75" s="433" t="s">
        <v>466</v>
      </c>
      <c r="G75" s="390" t="s">
        <v>572</v>
      </c>
      <c r="H75" s="441" t="s">
        <v>563</v>
      </c>
      <c r="I75" s="441" t="s">
        <v>565</v>
      </c>
      <c r="J75" s="396" t="s">
        <v>118</v>
      </c>
      <c r="K75" s="441" t="s">
        <v>624</v>
      </c>
      <c r="L75" s="400">
        <v>441</v>
      </c>
      <c r="M75" s="440" t="str">
        <f t="shared" si="115"/>
        <v>Media</v>
      </c>
      <c r="N75" s="427">
        <f t="shared" si="116"/>
        <v>0.6</v>
      </c>
      <c r="O75" s="442" t="s">
        <v>146</v>
      </c>
      <c r="P75" s="420" t="s">
        <v>146</v>
      </c>
      <c r="Q75" s="456" t="str">
        <f>IF(OR(P75='Tabla Impacto'!$C$11,P75='Tabla Impacto'!$D$11),"Leve",IF(OR(P75='Tabla Impacto'!$C$12,P75='Tabla Impacto'!$D$12),"Menor",IF(OR(P75='Tabla Impacto'!$C$13,P75='Tabla Impacto'!$D$13),"Moderado",IF(OR(P75='Tabla Impacto'!$C$14,P75:P75='Tabla Impacto'!$D$14),"Mayor",IF(OR(P75='Tabla Impacto'!$C$15,P75='Tabla Impacto'!$D$15),"Catastrófico","")))))</f>
        <v>Mayor</v>
      </c>
      <c r="R75" s="410">
        <f t="shared" si="117"/>
        <v>0.8</v>
      </c>
      <c r="S75" s="422" t="str">
        <f t="shared" si="118"/>
        <v>Alto</v>
      </c>
      <c r="T75" s="141">
        <v>1</v>
      </c>
      <c r="U75" s="144" t="s">
        <v>469</v>
      </c>
      <c r="V75" s="146" t="str">
        <f t="shared" si="109"/>
        <v>Probabilidad</v>
      </c>
      <c r="W75" s="147" t="s">
        <v>12</v>
      </c>
      <c r="X75" s="147" t="s">
        <v>7</v>
      </c>
      <c r="Y75" s="148" t="str">
        <f>IF(AND(W75="Preventivo",X75="Automático"),"50%",IF(AND(W75="Preventivo",X75="Manual"),"40%",IF(AND(W75="Detectivo",X75="Automático"),"40%",IF(AND(W75="Detectivo",X75="Manual"),"30%",IF(AND(W75="Correctivo",X75="Automático"),"35%",IF(AND(W75="Correctivo",X75="Manual"),"25%",""))))))</f>
        <v>40%</v>
      </c>
      <c r="Z75" s="161" t="s">
        <v>17</v>
      </c>
      <c r="AA75" s="162" t="s">
        <v>20</v>
      </c>
      <c r="AB75" s="163" t="s">
        <v>114</v>
      </c>
      <c r="AC75" s="145" t="s">
        <v>470</v>
      </c>
      <c r="AD75" s="164">
        <f t="shared" si="119"/>
        <v>0.36</v>
      </c>
      <c r="AE75" s="165" t="str">
        <f t="shared" si="120"/>
        <v>Baja</v>
      </c>
      <c r="AF75" s="148">
        <f t="shared" si="121"/>
        <v>0.36</v>
      </c>
      <c r="AG75" s="166" t="str">
        <f t="shared" si="122"/>
        <v>Mayor</v>
      </c>
      <c r="AH75" s="148">
        <f t="shared" si="123"/>
        <v>0.8</v>
      </c>
      <c r="AI75" s="167" t="str">
        <f t="shared" si="124"/>
        <v>Alto</v>
      </c>
      <c r="AJ75" s="436" t="str">
        <f t="shared" ref="AJ75" si="137">$AI$76</f>
        <v>Alto</v>
      </c>
      <c r="AK75" s="434" t="s">
        <v>129</v>
      </c>
      <c r="AL75" s="450" t="s">
        <v>477</v>
      </c>
      <c r="AM75" s="450" t="s">
        <v>478</v>
      </c>
      <c r="AN75" s="397" t="s">
        <v>627</v>
      </c>
      <c r="AO75" s="403" t="s">
        <v>407</v>
      </c>
      <c r="AP75" s="450" t="s">
        <v>479</v>
      </c>
      <c r="AQ75" s="447" t="s">
        <v>38</v>
      </c>
    </row>
    <row r="76" spans="2:43" ht="123" customHeight="1" x14ac:dyDescent="0.2">
      <c r="B76" s="441"/>
      <c r="C76" s="416"/>
      <c r="D76" s="393"/>
      <c r="E76" s="455"/>
      <c r="F76" s="433"/>
      <c r="G76" s="389"/>
      <c r="H76" s="441"/>
      <c r="I76" s="441"/>
      <c r="J76" s="388"/>
      <c r="K76" s="441"/>
      <c r="L76" s="399"/>
      <c r="M76" s="439"/>
      <c r="N76" s="427"/>
      <c r="O76" s="443"/>
      <c r="P76" s="444"/>
      <c r="Q76" s="457"/>
      <c r="R76" s="410"/>
      <c r="S76" s="422"/>
      <c r="T76" s="220">
        <v>2</v>
      </c>
      <c r="U76" s="154" t="s">
        <v>471</v>
      </c>
      <c r="V76" s="266" t="str">
        <f t="shared" si="109"/>
        <v>Probabilidad</v>
      </c>
      <c r="W76" s="251" t="s">
        <v>12</v>
      </c>
      <c r="X76" s="251" t="s">
        <v>7</v>
      </c>
      <c r="Y76" s="267" t="str">
        <f t="shared" ref="Y76" si="138">IF(AND(W76="Preventivo",X76="Automático"),"50%",IF(AND(W76="Preventivo",X76="Manual"),"40%",IF(AND(W76="Detectivo",X76="Automático"),"40%",IF(AND(W76="Detectivo",X76="Manual"),"30%",IF(AND(W76="Correctivo",X76="Automático"),"35%",IF(AND(W76="Correctivo",X76="Manual"),"25%",""))))))</f>
        <v>40%</v>
      </c>
      <c r="Z76" s="268" t="s">
        <v>18</v>
      </c>
      <c r="AA76" s="269" t="s">
        <v>20</v>
      </c>
      <c r="AB76" s="270" t="s">
        <v>114</v>
      </c>
      <c r="AC76" s="172" t="s">
        <v>472</v>
      </c>
      <c r="AD76" s="173">
        <f>IFERROR(IF(AND(V75="Probabilidad",V76="Probabilidad"),(AF75-(+AF75*Y76)),IF(V76="Probabilidad",(N75-(+N75*Y76)),IF(V76="Impacto",AF75,""))),"")</f>
        <v>0.216</v>
      </c>
      <c r="AE76" s="174" t="str">
        <f t="shared" ref="AE76:AE78" si="139">IFERROR(IF(AD76="","",IF(AD76&lt;=0.2,"Muy Baja",IF(AD76&lt;=0.4,"Baja",IF(AD76&lt;=0.6,"Media",IF(AD76&lt;=0.8,"Alta","Muy Alta"))))),"")</f>
        <v>Baja</v>
      </c>
      <c r="AF76" s="175">
        <f t="shared" ref="AF76" si="140">+AD76</f>
        <v>0.216</v>
      </c>
      <c r="AG76" s="176" t="str">
        <f t="shared" ref="AG76:AG78" si="141">IFERROR(IF(AH76="","",IF(AH76&lt;=0.2,"Leve",IF(AH76&lt;=0.4,"Menor",IF(AH76&lt;=0.6,"Moderado",IF(AH76&lt;=0.8,"Mayor","Catastrófico"))))),"")</f>
        <v>Mayor</v>
      </c>
      <c r="AH76" s="271">
        <f>IFERROR(IF(AND(V75="Impacto",V76="Impacto"),(AH75-(+AH75*Y76)),IF(V76="Impacto",($N$10-(+$N$10*Y76)),IF(V76="Probabilidad",AH75,""))),"")</f>
        <v>0.8</v>
      </c>
      <c r="AI76" s="244" t="str">
        <f t="shared" ref="AI76" si="142">IFERROR(IF(OR(AND(AE76="Muy Baja",AG76="Leve"),AND(AE76="Muy Baja",AG76="Menor"),AND(AE76="Baja",AG76="Leve")),"Bajo",IF(OR(AND(AE76="Muy baja",AG76="Moderado"),AND(AE76="Baja",AG76="Menor"),AND(AE76="Baja",AG76="Moderado"),AND(AE76="Media",AG76="Leve"),AND(AE76="Media",AG76="Menor"),AND(AE76="Media",AG76="Moderado"),AND(AE76="Alta",AG76="Leve"),AND(AE76="Alta",AG76="Menor")),"Moderado",IF(OR(AND(AE76="Muy Baja",AG76="Mayor"),AND(AE76="Baja",AG76="Mayor"),AND(AE76="Media",AG76="Mayor"),AND(AE76="Alta",AG76="Moderado"),AND(AE76="Alta",AG76="Mayor"),AND(AE76="Muy Alta",AG76="Leve"),AND(AE76="Muy Alta",AG76="Menor"),AND(AE76="Muy Alta",AG76="Moderado"),AND(AE76="Muy Alta",AG76="Mayor")),"Alto",IF(OR(AND(AE76="Muy Baja",AG76="Catastrófico"),AND(AE76="Baja",AG76="Catastrófico"),AND(AE76="Media",AG76="Catastrófico"),AND(AE76="Alta",AG76="Catastrófico"),AND(AE76="Muy Alta",AG76="Catastrófico")),"Extremo","")))),"")</f>
        <v>Alto</v>
      </c>
      <c r="AJ76" s="437"/>
      <c r="AK76" s="435"/>
      <c r="AL76" s="433"/>
      <c r="AM76" s="433"/>
      <c r="AN76" s="453"/>
      <c r="AO76" s="454"/>
      <c r="AP76" s="433"/>
      <c r="AQ76" s="448"/>
    </row>
    <row r="77" spans="2:43" ht="114.75" x14ac:dyDescent="0.2">
      <c r="B77" s="441"/>
      <c r="C77" s="416" t="s">
        <v>468</v>
      </c>
      <c r="D77" s="393">
        <v>53</v>
      </c>
      <c r="E77" s="385" t="s">
        <v>465</v>
      </c>
      <c r="F77" s="387" t="s">
        <v>467</v>
      </c>
      <c r="G77" s="425" t="s">
        <v>611</v>
      </c>
      <c r="H77" s="393" t="s">
        <v>563</v>
      </c>
      <c r="I77" s="393" t="s">
        <v>565</v>
      </c>
      <c r="J77" s="387" t="s">
        <v>123</v>
      </c>
      <c r="K77" s="393" t="s">
        <v>624</v>
      </c>
      <c r="L77" s="394">
        <v>150</v>
      </c>
      <c r="M77" s="395" t="str">
        <f>IF(L77&lt;=0,"",IF(L77&lt;=2,"Muy Baja",IF(L77&lt;=24,"Baja",IF(L77&lt;=500,"Media",IF(L77&lt;=5000,"Alta","Muy Alta")))))</f>
        <v>Media</v>
      </c>
      <c r="N77" s="405">
        <f>IF(M77="","",IF(M77="Muy Baja",0.2,IF(M77="Baja",0.4,IF(M77="Media",0.6,IF(M77="Alta",0.8,IF(M77="Muy Alta",1,))))))</f>
        <v>0.6</v>
      </c>
      <c r="O77" s="445" t="s">
        <v>145</v>
      </c>
      <c r="P77" s="451" t="s">
        <v>145</v>
      </c>
      <c r="Q77" s="395" t="str">
        <f>IF(OR(P77='Tabla Impacto'!$C$11,P77='Tabla Impacto'!$D$11),"Leve",IF(OR(P77='Tabla Impacto'!$C$12,P77='Tabla Impacto'!$D$12),"Menor",IF(OR(P77='Tabla Impacto'!$C$13,P77='Tabla Impacto'!$D$13),"Moderado",IF(OR(P77='Tabla Impacto'!$C$14,P77:P77='Tabla Impacto'!$D$14),"Mayor",IF(OR(P77='Tabla Impacto'!$C$15,P77='Tabla Impacto'!$D$15),"Catastrófico","")))))</f>
        <v>Moderado</v>
      </c>
      <c r="R77" s="405">
        <f>IF(Q77="","",IF(Q77="Leve",0.2,IF(Q77="Menor",0.4,IF(Q77="Moderado",0.6,IF(Q77="Mayor",0.8,IF(Q77="Catastrófico",1,))))))</f>
        <v>0.6</v>
      </c>
      <c r="S77" s="439" t="str">
        <f>IF(OR(AND(M77="Muy Baja",Q77="Leve"),AND(M77="Muy Baja",Q77="Menor"),AND(M77="Baja",Q77="Leve")),"Bajo",IF(OR(AND(M77="Muy baja",Q77="Moderado"),AND(M77="Baja",Q77="Menor"),AND(M77="Baja",Q77="Moderado"),AND(M77="Media",Q77="Leve"),AND(M77="Media",Q77="Menor"),AND(M77="Media",Q77="Moderado"),AND(M77="Alta",Q77="Leve"),AND(M77="Alta",Q77="Menor")),"Moderado",IF(OR(AND(M77="Muy Baja",Q77="Mayor"),AND(M77="Baja",Q77="Mayor"),AND(M77="Media",Q77="Mayor"),AND(M77="Alta",Q77="Moderado"),AND(M77="Alta",Q77="Mayor"),AND(M77="Muy Alta",Q77="Leve"),AND(M77="Muy Alta",Q77="Menor"),AND(M77="Muy Alta",Q77="Moderado"),AND(M77="Muy Alta",Q77="Mayor")),"Alto",IF(OR(AND(M77="Muy Baja",Q77="Catastrófico"),AND(M77="Baja",Q77="Catastrófico"),AND(M77="Media",Q77="Catastrófico"),AND(M77="Alta",Q77="Catastrófico"),AND(M77="Muy Alta",Q77="Catastrófico")),"Extremo",""))))</f>
        <v>Moderado</v>
      </c>
      <c r="T77" s="143">
        <v>1</v>
      </c>
      <c r="U77" s="140" t="s">
        <v>473</v>
      </c>
      <c r="V77" s="124" t="str">
        <f t="shared" si="109"/>
        <v>Probabilidad</v>
      </c>
      <c r="W77" s="125" t="s">
        <v>12</v>
      </c>
      <c r="X77" s="125" t="s">
        <v>7</v>
      </c>
      <c r="Y77" s="81" t="str">
        <f>IF(AND(W77="Preventivo",X77="Automático"),"50%",IF(AND(W77="Preventivo",X77="Manual"),"40%",IF(AND(W77="Detectivo",X77="Automático"),"40%",IF(AND(W77="Detectivo",X77="Manual"),"30%",IF(AND(W77="Correctivo",X77="Automático"),"35%",IF(AND(W77="Correctivo",X77="Manual"),"25%",""))))))</f>
        <v>40%</v>
      </c>
      <c r="Z77" s="125" t="s">
        <v>17</v>
      </c>
      <c r="AA77" s="125" t="s">
        <v>20</v>
      </c>
      <c r="AB77" s="125" t="s">
        <v>114</v>
      </c>
      <c r="AC77" s="123" t="s">
        <v>474</v>
      </c>
      <c r="AD77" s="126">
        <f>IFERROR(IF(V77="Probabilidad",(N77-(+N77*Y77)),IF(V77="Impacto",N77,"")),"")</f>
        <v>0.36</v>
      </c>
      <c r="AE77" s="82" t="str">
        <f>IFERROR(IF(AD77="","",IF(AD77&lt;=0.2,"Muy Baja",IF(AD77&lt;=0.4,"Baja",IF(AD77&lt;=0.6,"Media",IF(AD77&lt;=0.8,"Alta","Muy Alta"))))),"")</f>
        <v>Baja</v>
      </c>
      <c r="AF77" s="81">
        <f>+AD77</f>
        <v>0.36</v>
      </c>
      <c r="AG77" s="82" t="str">
        <f>IFERROR(IF(AH77="","",IF(AH77&lt;=0.2,"Leve",IF(AH77&lt;=0.4,"Menor",IF(AH77&lt;=0.6,"Moderado",IF(AH77&lt;=0.8,"Mayor","Catastrófico"))))),"")</f>
        <v>Moderado</v>
      </c>
      <c r="AH77" s="81">
        <f>IFERROR(IF(V77="Impacto",(R77-(+R77*Y77)),IF(V77="Probabilidad",R77,"")),"")</f>
        <v>0.6</v>
      </c>
      <c r="AI77" s="83" t="str">
        <f>IFERROR(IF(OR(AND(AE77="Muy Baja",AG77="Leve"),AND(AE77="Muy Baja",AG77="Menor"),AND(AE77="Baja",AG77="Leve")),"Bajo",IF(OR(AND(AE77="Muy baja",AG77="Moderado"),AND(AE77="Baja",AG77="Menor"),AND(AE77="Baja",AG77="Moderado"),AND(AE77="Media",AG77="Leve"),AND(AE77="Media",AG77="Menor"),AND(AE77="Media",AG77="Moderado"),AND(AE77="Alta",AG77="Leve"),AND(AE77="Alta",AG77="Menor")),"Moderado",IF(OR(AND(AE77="Muy Baja",AG77="Mayor"),AND(AE77="Baja",AG77="Mayor"),AND(AE77="Media",AG77="Mayor"),AND(AE77="Alta",AG77="Moderado"),AND(AE77="Alta",AG77="Mayor"),AND(AE77="Muy Alta",AG77="Leve"),AND(AE77="Muy Alta",AG77="Menor"),AND(AE77="Muy Alta",AG77="Moderado"),AND(AE77="Muy Alta",AG77="Mayor")),"Alto",IF(OR(AND(AE77="Muy Baja",AG77="Catastrófico"),AND(AE77="Baja",AG77="Catastrófico"),AND(AE77="Media",AG77="Catastrófico"),AND(AE77="Alta",AG77="Catastrófico"),AND(AE77="Muy Alta",AG77="Catastrófico")),"Extremo","")))),"")</f>
        <v>Moderado</v>
      </c>
      <c r="AJ77" s="413" t="str">
        <f t="shared" ref="AJ77" si="143">$AI$78</f>
        <v>Moderado</v>
      </c>
      <c r="AK77" s="401" t="s">
        <v>30</v>
      </c>
      <c r="AL77" s="387"/>
      <c r="AM77" s="387"/>
      <c r="AN77" s="449"/>
      <c r="AO77" s="449"/>
      <c r="AP77" s="387"/>
      <c r="AQ77" s="394"/>
    </row>
    <row r="78" spans="2:43" ht="102.75" customHeight="1" x14ac:dyDescent="0.2">
      <c r="B78" s="441"/>
      <c r="C78" s="416"/>
      <c r="D78" s="393"/>
      <c r="E78" s="385"/>
      <c r="F78" s="387"/>
      <c r="G78" s="425"/>
      <c r="H78" s="393"/>
      <c r="I78" s="393"/>
      <c r="J78" s="387"/>
      <c r="K78" s="393"/>
      <c r="L78" s="394"/>
      <c r="M78" s="395"/>
      <c r="N78" s="405"/>
      <c r="O78" s="446"/>
      <c r="P78" s="452"/>
      <c r="Q78" s="395"/>
      <c r="R78" s="405"/>
      <c r="S78" s="440"/>
      <c r="T78" s="143">
        <v>2</v>
      </c>
      <c r="U78" s="140" t="s">
        <v>475</v>
      </c>
      <c r="V78" s="124" t="str">
        <f t="shared" si="109"/>
        <v>Probabilidad</v>
      </c>
      <c r="W78" s="125" t="s">
        <v>12</v>
      </c>
      <c r="X78" s="125" t="s">
        <v>7</v>
      </c>
      <c r="Y78" s="81" t="str">
        <f t="shared" ref="Y78" si="144">IF(AND(W78="Preventivo",X78="Automático"),"50%",IF(AND(W78="Preventivo",X78="Manual"),"40%",IF(AND(W78="Detectivo",X78="Automático"),"40%",IF(AND(W78="Detectivo",X78="Manual"),"30%",IF(AND(W78="Correctivo",X78="Automático"),"35%",IF(AND(W78="Correctivo",X78="Manual"),"25%",""))))))</f>
        <v>40%</v>
      </c>
      <c r="Z78" s="125" t="s">
        <v>18</v>
      </c>
      <c r="AA78" s="125" t="s">
        <v>20</v>
      </c>
      <c r="AB78" s="125" t="s">
        <v>114</v>
      </c>
      <c r="AC78" s="123" t="s">
        <v>476</v>
      </c>
      <c r="AD78" s="126">
        <f>IFERROR(IF(AND(V77="Probabilidad",V78="Probabilidad"),(AF77-(+AF77*Y78)),IF(V78="Probabilidad",(N77-(+N77*Y78)),IF(V78="Impacto",AF77,""))),"")</f>
        <v>0.216</v>
      </c>
      <c r="AE78" s="82" t="str">
        <f t="shared" si="139"/>
        <v>Baja</v>
      </c>
      <c r="AF78" s="81">
        <f t="shared" ref="AF78" si="145">+AD78</f>
        <v>0.216</v>
      </c>
      <c r="AG78" s="82" t="str">
        <f t="shared" si="141"/>
        <v>Moderado</v>
      </c>
      <c r="AH78" s="81">
        <f>IFERROR(IF(AND(V77="Impacto",V78="Impacto"),(AH77-(+AH77*Y78)),IF(V78="Impacto",($N$13-(+$N$13*Y78)),IF(V78="Probabilidad",AH77,""))),"")</f>
        <v>0.6</v>
      </c>
      <c r="AI78" s="83" t="str">
        <f t="shared" ref="AI78" si="146">IFERROR(IF(OR(AND(AE78="Muy Baja",AG78="Leve"),AND(AE78="Muy Baja",AG78="Menor"),AND(AE78="Baja",AG78="Leve")),"Bajo",IF(OR(AND(AE78="Muy baja",AG78="Moderado"),AND(AE78="Baja",AG78="Menor"),AND(AE78="Baja",AG78="Moderado"),AND(AE78="Media",AG78="Leve"),AND(AE78="Media",AG78="Menor"),AND(AE78="Media",AG78="Moderado"),AND(AE78="Alta",AG78="Leve"),AND(AE78="Alta",AG78="Menor")),"Moderado",IF(OR(AND(AE78="Muy Baja",AG78="Mayor"),AND(AE78="Baja",AG78="Mayor"),AND(AE78="Media",AG78="Mayor"),AND(AE78="Alta",AG78="Moderado"),AND(AE78="Alta",AG78="Mayor"),AND(AE78="Muy Alta",AG78="Leve"),AND(AE78="Muy Alta",AG78="Menor"),AND(AE78="Muy Alta",AG78="Moderado"),AND(AE78="Muy Alta",AG78="Mayor")),"Alto",IF(OR(AND(AE78="Muy Baja",AG78="Catastrófico"),AND(AE78="Baja",AG78="Catastrófico"),AND(AE78="Media",AG78="Catastrófico"),AND(AE78="Alta",AG78="Catastrófico"),AND(AE78="Muy Alta",AG78="Catastrófico")),"Extremo","")))),"")</f>
        <v>Moderado</v>
      </c>
      <c r="AJ78" s="413"/>
      <c r="AK78" s="402"/>
      <c r="AL78" s="387"/>
      <c r="AM78" s="387"/>
      <c r="AN78" s="449"/>
      <c r="AO78" s="449"/>
      <c r="AP78" s="387"/>
      <c r="AQ78" s="394"/>
    </row>
    <row r="79" spans="2:43" ht="138.75" customHeight="1" x14ac:dyDescent="0.2">
      <c r="B79" s="441"/>
      <c r="C79" s="213" t="s">
        <v>468</v>
      </c>
      <c r="D79" s="143">
        <v>54</v>
      </c>
      <c r="E79" s="290" t="s">
        <v>652</v>
      </c>
      <c r="F79" s="254" t="s">
        <v>653</v>
      </c>
      <c r="G79" s="202" t="s">
        <v>656</v>
      </c>
      <c r="H79" s="220" t="s">
        <v>563</v>
      </c>
      <c r="I79" s="220" t="s">
        <v>565</v>
      </c>
      <c r="J79" s="205" t="s">
        <v>118</v>
      </c>
      <c r="K79" s="220" t="s">
        <v>624</v>
      </c>
      <c r="L79" s="142">
        <v>150</v>
      </c>
      <c r="M79" s="264" t="str">
        <f>IF(L79&lt;=0,"",IF(L79&lt;=2,"Muy Baja",IF(L79&lt;=24,"Baja",IF(L79&lt;=500,"Media",IF(L79&lt;=5000,"Alta","Muy Alta")))))</f>
        <v>Media</v>
      </c>
      <c r="N79" s="193">
        <f>IF(M79="","",IF(M79="Muy Baja",0.2,IF(M79="Baja",0.4,IF(M79="Media",0.6,IF(M79="Alta",0.8,IF(M79="Muy Alta",1,))))))</f>
        <v>0.6</v>
      </c>
      <c r="O79" s="286" t="s">
        <v>145</v>
      </c>
      <c r="P79" s="286" t="s">
        <v>145</v>
      </c>
      <c r="Q79" s="192" t="str">
        <f>IF(OR(P79:P79='Tabla Impacto'!$C$11,P79='Tabla Impacto'!$D$11),"Leve",IF(OR(P79='Tabla Impacto'!$C$12,P79='Tabla Impacto'!$D$12),"Menor",IF(OR(P79='Tabla Impacto'!$C$13,P79='Tabla Impacto'!$D$13),"Moderado",IF(OR(P79='Tabla Impacto'!$C$14,P79:P79='Tabla Impacto'!$D$14),"Mayor",IF(OR(P79='Tabla Impacto'!$C$15,P79='Tabla Impacto'!$D$15),"Catastrófico","")))))</f>
        <v>Moderado</v>
      </c>
      <c r="R79" s="193">
        <f>IF(Q79="","",IF(Q79="Leve",0.2,IF(Q79="Menor",0.4,IF(Q79="Moderado",0.6,IF(Q79="Mayor",0.8,IF(Q79="Catastrófico",1,))))))</f>
        <v>0.6</v>
      </c>
      <c r="S79" s="192" t="str">
        <f t="shared" ref="S79:S80" si="147">IF(OR(AND(M79="Muy Baja",Q79="Leve"),AND(M79="Muy Baja",Q79="Menor"),AND(M79="Baja",Q79="Leve")),"Bajo",IF(OR(AND(M79="Muy baja",Q79="Moderado"),AND(M79="Baja",Q79="Menor"),AND(M79="Baja",Q79="Moderado"),AND(M79="Media",Q79="Leve"),AND(M79="Media",Q79="Menor"),AND(M79="Media",Q79="Moderado"),AND(M79="Alta",Q79="Leve"),AND(M79="Alta",Q79="Menor")),"Moderado",IF(OR(AND(M79="Muy Baja",Q79="Mayor"),AND(M79="Baja",Q79="Mayor"),AND(M79="Media",Q79="Mayor"),AND(M79="Alta",Q79="Moderado"),AND(M79="Alta",Q79="Mayor"),AND(M79="Muy Alta",Q79="Leve"),AND(M79="Muy Alta",Q79="Menor"),AND(M79="Muy Alta",Q79="Moderado"),AND(M79="Muy Alta",Q79="Mayor")),"Alto",IF(OR(AND(M79="Muy Baja",Q79="Catastrófico"),AND(M79="Baja",Q79="Catastrófico"),AND(M79="Media",Q79="Catastrófico"),AND(M79="Alta",Q79="Catastrófico"),AND(M79="Muy Alta",Q79="Catastrófico")),"Extremo",""))))</f>
        <v>Moderado</v>
      </c>
      <c r="T79" s="143"/>
      <c r="U79" s="140" t="s">
        <v>676</v>
      </c>
      <c r="V79" s="124"/>
      <c r="W79" s="125"/>
      <c r="X79" s="125"/>
      <c r="Y79" s="81" t="str">
        <f t="shared" ref="Y79" si="148">IF(AND(W79="Preventivo",X79="Automático"),"50%",IF(AND(W79="Preventivo",X79="Manual"),"40%",IF(AND(W79="Detectivo",X79="Automático"),"40%",IF(AND(W79="Detectivo",X79="Manual"),"30%",IF(AND(W79="Correctivo",X79="Automático"),"35%",IF(AND(W79="Correctivo",X79="Manual"),"25%",""))))))</f>
        <v/>
      </c>
      <c r="Z79" s="125"/>
      <c r="AA79" s="125"/>
      <c r="AB79" s="125"/>
      <c r="AC79" s="123"/>
      <c r="AD79" s="126" t="str">
        <f>IFERROR(IF(AND(V78="Probabilidad",V79="Probabilidad"),(AF78-(+AF78*Y79)),IF(V79="Probabilidad",(N78-(+N78*Y79)),IF(V79="Impacto",AF78,""))),"")</f>
        <v/>
      </c>
      <c r="AE79" s="82" t="str">
        <f t="shared" ref="AE79" si="149">IFERROR(IF(AD79="","",IF(AD79&lt;=0.2,"Muy Baja",IF(AD79&lt;=0.4,"Baja",IF(AD79&lt;=0.6,"Media",IF(AD79&lt;=0.8,"Alta","Muy Alta"))))),"")</f>
        <v/>
      </c>
      <c r="AF79" s="81" t="str">
        <f t="shared" ref="AF79" si="150">+AD79</f>
        <v/>
      </c>
      <c r="AG79" s="82" t="str">
        <f t="shared" ref="AG79" si="151">IFERROR(IF(AH79="","",IF(AH79&lt;=0.2,"Leve",IF(AH79&lt;=0.4,"Menor",IF(AH79&lt;=0.6,"Moderado",IF(AH79&lt;=0.8,"Mayor","Catastrófico"))))),"")</f>
        <v/>
      </c>
      <c r="AH79" s="81" t="str">
        <f>IFERROR(IF(AND(V78="Impacto",V79="Impacto"),(AH78-(+AH78*Y79)),IF(V79="Impacto",($N$13-(+$N$13*Y79)),IF(V79="Probabilidad",AH78,""))),"")</f>
        <v/>
      </c>
      <c r="AI79" s="83" t="str">
        <f t="shared" ref="AI79" si="152">IFERROR(IF(OR(AND(AE79="Muy Baja",AG79="Leve"),AND(AE79="Muy Baja",AG79="Menor"),AND(AE79="Baja",AG79="Leve")),"Bajo",IF(OR(AND(AE79="Muy baja",AG79="Moderado"),AND(AE79="Baja",AG79="Menor"),AND(AE79="Baja",AG79="Moderado"),AND(AE79="Media",AG79="Leve"),AND(AE79="Media",AG79="Menor"),AND(AE79="Media",AG79="Moderado"),AND(AE79="Alta",AG79="Leve"),AND(AE79="Alta",AG79="Menor")),"Moderado",IF(OR(AND(AE79="Muy Baja",AG79="Mayor"),AND(AE79="Baja",AG79="Mayor"),AND(AE79="Media",AG79="Mayor"),AND(AE79="Alta",AG79="Moderado"),AND(AE79="Alta",AG79="Mayor"),AND(AE79="Muy Alta",AG79="Leve"),AND(AE79="Muy Alta",AG79="Menor"),AND(AE79="Muy Alta",AG79="Moderado"),AND(AE79="Muy Alta",AG79="Mayor")),"Alto",IF(OR(AND(AE79="Muy Baja",AG79="Catastrófico"),AND(AE79="Baja",AG79="Catastrófico"),AND(AE79="Media",AG79="Catastrófico"),AND(AE79="Alta",AG79="Catastrófico"),AND(AE79="Muy Alta",AG79="Catastrófico")),"Extremo","")))),"")</f>
        <v/>
      </c>
      <c r="AJ79" s="312" t="str">
        <f>$S$79</f>
        <v>Moderado</v>
      </c>
      <c r="AK79" s="285" t="s">
        <v>30</v>
      </c>
      <c r="AL79" s="140" t="s">
        <v>677</v>
      </c>
      <c r="AM79" s="140" t="s">
        <v>678</v>
      </c>
      <c r="AN79" s="84" t="s">
        <v>679</v>
      </c>
      <c r="AO79" s="143" t="s">
        <v>669</v>
      </c>
      <c r="AP79" s="140" t="s">
        <v>680</v>
      </c>
      <c r="AQ79" s="142" t="s">
        <v>38</v>
      </c>
    </row>
    <row r="80" spans="2:43" ht="165" customHeight="1" x14ac:dyDescent="0.2">
      <c r="B80" s="441"/>
      <c r="C80" s="213" t="s">
        <v>468</v>
      </c>
      <c r="D80" s="143">
        <v>55</v>
      </c>
      <c r="E80" s="212" t="s">
        <v>654</v>
      </c>
      <c r="F80" s="140" t="s">
        <v>655</v>
      </c>
      <c r="G80" s="136" t="s">
        <v>657</v>
      </c>
      <c r="H80" s="143" t="s">
        <v>563</v>
      </c>
      <c r="I80" s="143" t="s">
        <v>565</v>
      </c>
      <c r="J80" s="140" t="s">
        <v>118</v>
      </c>
      <c r="K80" s="143" t="s">
        <v>624</v>
      </c>
      <c r="L80" s="142">
        <v>250</v>
      </c>
      <c r="M80" s="264" t="str">
        <f>IF(L80&lt;=0,"",IF(L80&lt;=2,"Muy Baja",IF(L80&lt;=24,"Baja",IF(L80&lt;=500,"Media",IF(L80&lt;=5000,"Alta","Muy Alta")))))</f>
        <v>Media</v>
      </c>
      <c r="N80" s="193">
        <f>IF(M80="","",IF(M80="Muy Baja",0.2,IF(M80="Baja",0.4,IF(M80="Media",0.6,IF(M80="Alta",0.8,IF(M80="Muy Alta",1,))))))</f>
        <v>0.6</v>
      </c>
      <c r="O80" s="286" t="s">
        <v>145</v>
      </c>
      <c r="P80" s="286" t="s">
        <v>145</v>
      </c>
      <c r="Q80" s="192" t="str">
        <f>IF(OR(P80:P80='Tabla Impacto'!$C$11,P80='Tabla Impacto'!$D$11),"Leve",IF(OR(P80='Tabla Impacto'!$C$12,P80='Tabla Impacto'!$D$12),"Menor",IF(OR(P80='Tabla Impacto'!$C$13,P80='Tabla Impacto'!$D$13),"Moderado",IF(OR(P80='Tabla Impacto'!$C$14,P80:P80='Tabla Impacto'!$D$14),"Mayor",IF(OR(P80='Tabla Impacto'!$C$15,P80='Tabla Impacto'!$D$15),"Catastrófico","")))))</f>
        <v>Moderado</v>
      </c>
      <c r="R80" s="193">
        <f>IF(Q80="","",IF(Q80="Leve",0.2,IF(Q80="Menor",0.4,IF(Q80="Moderado",0.6,IF(Q80="Mayor",0.8,IF(Q80="Catastrófico",1,))))))</f>
        <v>0.6</v>
      </c>
      <c r="S80" s="192" t="str">
        <f t="shared" si="147"/>
        <v>Moderado</v>
      </c>
      <c r="T80" s="141"/>
      <c r="U80" s="144" t="s">
        <v>722</v>
      </c>
      <c r="V80" s="124" t="str">
        <f t="shared" ref="V80:V83" si="153">IF(OR(W80="Preventivo",W80="Detectivo"),"Probabilidad",IF(W80="Correctivo","Impacto",""))</f>
        <v>Probabilidad</v>
      </c>
      <c r="W80" s="125" t="s">
        <v>12</v>
      </c>
      <c r="X80" s="125" t="s">
        <v>7</v>
      </c>
      <c r="Y80" s="81" t="str">
        <f t="shared" ref="Y80" si="154">IF(AND(W80="Preventivo",X80="Automático"),"50%",IF(AND(W80="Preventivo",X80="Manual"),"40%",IF(AND(W80="Detectivo",X80="Automático"),"40%",IF(AND(W80="Detectivo",X80="Manual"),"30%",IF(AND(W80="Correctivo",X80="Automático"),"35%",IF(AND(W80="Correctivo",X80="Manual"),"25%",""))))))</f>
        <v>40%</v>
      </c>
      <c r="Z80" s="125" t="s">
        <v>18</v>
      </c>
      <c r="AA80" s="125" t="s">
        <v>20</v>
      </c>
      <c r="AB80" s="125" t="s">
        <v>114</v>
      </c>
      <c r="AC80" s="145" t="s">
        <v>666</v>
      </c>
      <c r="AD80" s="273">
        <f>IFERROR(IF(V80="Probabilidad",(N80-(+N80*Y80)),IF(V80="Impacto",N80,"")),"")</f>
        <v>0.36</v>
      </c>
      <c r="AE80" s="165" t="str">
        <f>IFERROR(IF(AD80="","",IF(AD80&lt;=0.2,"Muy Baja",IF(AD80&lt;=0.4,"Baja",IF(AD80&lt;=0.6,"Media",IF(AD80&lt;=0.8,"Alta","Muy Alta"))))),"")</f>
        <v>Baja</v>
      </c>
      <c r="AF80" s="148">
        <f>+AD80</f>
        <v>0.36</v>
      </c>
      <c r="AG80" s="166" t="str">
        <f>IFERROR(IF(AH80="","",IF(AH80&lt;=0.2,"Leve",IF(AH80&lt;=0.4,"Menor",IF(AH80&lt;=0.6,"Moderado",IF(AH80&lt;=0.8,"Mayor","Catastrófico"))))),"")</f>
        <v>Moderado</v>
      </c>
      <c r="AH80" s="148">
        <f>IFERROR(IF(V80="Impacto",(R80-(+R80*Y80)),IF(V80="Probabilidad",R80,"")),"")</f>
        <v>0.6</v>
      </c>
      <c r="AI80" s="167" t="str">
        <f>IFERROR(IF(OR(AND(AE80="Muy Baja",AG80="Leve"),AND(AE80="Muy Baja",AG80="Menor"),AND(AE80="Baja",AG80="Leve")),"Bajo",IF(OR(AND(AE80="Muy baja",AG80="Moderado"),AND(AE80="Baja",AG80="Menor"),AND(AE80="Baja",AG80="Moderado"),AND(AE80="Media",AG80="Leve"),AND(AE80="Media",AG80="Menor"),AND(AE80="Media",AG80="Moderado"),AND(AE80="Alta",AG80="Leve"),AND(AE80="Alta",AG80="Menor")),"Moderado",IF(OR(AND(AE80="Muy Baja",AG80="Mayor"),AND(AE80="Baja",AG80="Mayor"),AND(AE80="Media",AG80="Mayor"),AND(AE80="Alta",AG80="Moderado"),AND(AE80="Alta",AG80="Mayor"),AND(AE80="Muy Alta",AG80="Leve"),AND(AE80="Muy Alta",AG80="Menor"),AND(AE80="Muy Alta",AG80="Moderado"),AND(AE80="Muy Alta",AG80="Mayor")),"Alto",IF(OR(AND(AE80="Muy Baja",AG80="Catastrófico"),AND(AE80="Baja",AG80="Catastrófico"),AND(AE80="Media",AG80="Catastrófico"),AND(AE80="Alta",AG80="Catastrófico"),AND(AE80="Muy Alta",AG80="Catastrófico")),"Extremo","")))),"")</f>
        <v>Moderado</v>
      </c>
      <c r="AJ80" s="312" t="str">
        <f>AI80</f>
        <v>Moderado</v>
      </c>
      <c r="AK80" s="288" t="s">
        <v>30</v>
      </c>
      <c r="AL80" s="140" t="s">
        <v>667</v>
      </c>
      <c r="AM80" s="136" t="s">
        <v>671</v>
      </c>
      <c r="AN80" s="143" t="s">
        <v>668</v>
      </c>
      <c r="AO80" s="143" t="s">
        <v>669</v>
      </c>
      <c r="AP80" s="140" t="s">
        <v>670</v>
      </c>
      <c r="AQ80" s="142" t="s">
        <v>38</v>
      </c>
    </row>
    <row r="81" spans="2:43" ht="165" customHeight="1" x14ac:dyDescent="0.2">
      <c r="B81" s="441"/>
      <c r="C81" s="213" t="s">
        <v>468</v>
      </c>
      <c r="D81" s="143">
        <v>56</v>
      </c>
      <c r="E81" s="212" t="s">
        <v>553</v>
      </c>
      <c r="F81" s="140" t="s">
        <v>664</v>
      </c>
      <c r="G81" s="136" t="s">
        <v>618</v>
      </c>
      <c r="H81" s="143" t="s">
        <v>563</v>
      </c>
      <c r="I81" s="220" t="s">
        <v>565</v>
      </c>
      <c r="J81" s="254" t="s">
        <v>118</v>
      </c>
      <c r="K81" s="220" t="s">
        <v>624</v>
      </c>
      <c r="L81" s="255">
        <v>216</v>
      </c>
      <c r="M81" s="215" t="str">
        <f>IF(L81&lt;=0,"",IF(L81&lt;=2,"Muy Baja",IF(L81&lt;=24,"Baja",IF(L81&lt;=500,"Media",IF(L81&lt;=5000,"Alta","Muy Alta")))))</f>
        <v>Media</v>
      </c>
      <c r="N81" s="201">
        <f>IF(M81="","",IF(M81="Muy Baja",0.2,IF(M81="Baja",0.4,IF(M81="Media",0.6,IF(M81="Alta",0.8,IF(M81="Muy Alta",1,))))))</f>
        <v>0.6</v>
      </c>
      <c r="O81" s="156" t="s">
        <v>145</v>
      </c>
      <c r="P81" s="257" t="s">
        <v>145</v>
      </c>
      <c r="Q81" s="209" t="str">
        <f>IF(OR(P81='Tabla Impacto'!$C$11,P81='Tabla Impacto'!$D$11),"Leve",IF(OR(P81='Tabla Impacto'!$C$12,P81='Tabla Impacto'!$D$12),"Menor",IF(OR(P81='Tabla Impacto'!$C$13,P81='Tabla Impacto'!$D$13),"Moderado",IF(OR(P81='Tabla Impacto'!$C$14,P81:P81='Tabla Impacto'!$D$14),"Mayor",IF(OR(P81='Tabla Impacto'!$C$15,P81='Tabla Impacto'!$D$15),"Catastrófico","")))))</f>
        <v>Moderado</v>
      </c>
      <c r="R81" s="189">
        <f>IF(Q81="","",IF(Q81="Leve",0.2,IF(Q81="Menor",0.4,IF(Q81="Moderado",0.6,IF(Q81="Mayor",0.8,IF(Q81="Catastrófico",1,))))))</f>
        <v>0.6</v>
      </c>
      <c r="S81" s="247" t="str">
        <f>IF(OR(AND(M81="Muy Baja",Q81="Leve"),AND(M81="Muy Baja",Q81="Menor"),AND(M81="Baja",Q81="Leve")),"Bajo",IF(OR(AND(M81="Muy baja",Q81="Moderado"),AND(M81="Baja",Q81="Menor"),AND(M81="Baja",Q81="Moderado"),AND(M81="Media",Q81="Leve"),AND(M81="Media",Q81="Menor"),AND(M81="Media",Q81="Moderado"),AND(M81="Alta",Q81="Leve"),AND(M81="Alta",Q81="Menor")),"Moderado",IF(OR(AND(M81="Muy Baja",Q81="Mayor"),AND(M81="Baja",Q81="Mayor"),AND(M81="Media",Q81="Mayor"),AND(M81="Alta",Q81="Moderado"),AND(M81="Alta",Q81="Mayor"),AND(M81="Muy Alta",Q81="Leve"),AND(M81="Muy Alta",Q81="Menor"),AND(M81="Muy Alta",Q81="Moderado"),AND(M81="Muy Alta",Q81="Mayor")),"Alto",IF(OR(AND(M81="Muy Baja",Q81="Catastrófico"),AND(M81="Baja",Q81="Catastrófico"),AND(M81="Media",Q81="Catastrófico"),AND(M81="Alta",Q81="Catastrófico"),AND(M81="Muy Alta",Q81="Catastrófico")),"Extremo",""))))</f>
        <v>Moderado</v>
      </c>
      <c r="T81" s="298">
        <v>1</v>
      </c>
      <c r="U81" s="154" t="s">
        <v>755</v>
      </c>
      <c r="V81" s="299" t="str">
        <f t="shared" si="153"/>
        <v>Probabilidad</v>
      </c>
      <c r="W81" s="263" t="s">
        <v>12</v>
      </c>
      <c r="X81" s="263" t="s">
        <v>7</v>
      </c>
      <c r="Y81" s="300" t="str">
        <f>IF(AND(W81="Preventivo",X81="Automático"),"50%",IF(AND(W81="Preventivo",X81="Manual"),"40%",IF(AND(W81="Detectivo",X81="Automático"),"40%",IF(AND(W81="Detectivo",X81="Manual"),"30%",IF(AND(W81="Correctivo",X81="Automático"),"35%",IF(AND(W81="Correctivo",X81="Manual"),"25%",""))))))</f>
        <v>40%</v>
      </c>
      <c r="Z81" s="161" t="s">
        <v>17</v>
      </c>
      <c r="AA81" s="162" t="s">
        <v>20</v>
      </c>
      <c r="AB81" s="163" t="s">
        <v>114</v>
      </c>
      <c r="AC81" s="145" t="s">
        <v>756</v>
      </c>
      <c r="AD81" s="164">
        <f>IFERROR(IF(V81="Probabilidad",(N81-(+N81*Y81)),IF(V81="Impacto",N81,"")),"")</f>
        <v>0.36</v>
      </c>
      <c r="AE81" s="165" t="str">
        <f>IFERROR(IF(AD81="","",IF(AD81&lt;=0.2,"Muy Baja",IF(AD81&lt;=0.4,"Baja",IF(AD81&lt;=0.6,"Media",IF(AD81&lt;=0.8,"Alta","Muy Alta"))))),"")</f>
        <v>Baja</v>
      </c>
      <c r="AF81" s="148">
        <f>+AD81</f>
        <v>0.36</v>
      </c>
      <c r="AG81" s="166" t="str">
        <f>IFERROR(IF(AH81="","",IF(AH81&lt;=0.2,"Leve",IF(AH81&lt;=0.4,"Menor",IF(AH81&lt;=0.6,"Moderado",IF(AH81&lt;=0.8,"Mayor","Catastrófico"))))),"")</f>
        <v>Moderado</v>
      </c>
      <c r="AH81" s="148">
        <f>IFERROR(IF(V81="Impacto",(R81-(+R81*Y81)),IF(V81="Probabilidad",R81,"")),"")</f>
        <v>0.6</v>
      </c>
      <c r="AI81" s="167" t="str">
        <f>IFERROR(IF(OR(AND(AE81="Muy Baja",AG81="Leve"),AND(AE81="Muy Baja",AG81="Menor"),AND(AE81="Baja",AG81="Leve")),"Bajo",IF(OR(AND(AE81="Muy baja",AG81="Moderado"),AND(AE81="Baja",AG81="Menor"),AND(AE81="Baja",AG81="Moderado"),AND(AE81="Media",AG81="Leve"),AND(AE81="Media",AG81="Menor"),AND(AE81="Media",AG81="Moderado"),AND(AE81="Alta",AG81="Leve"),AND(AE81="Alta",AG81="Menor")),"Moderado",IF(OR(AND(AE81="Muy Baja",AG81="Mayor"),AND(AE81="Baja",AG81="Mayor"),AND(AE81="Media",AG81="Mayor"),AND(AE81="Alta",AG81="Moderado"),AND(AE81="Alta",AG81="Mayor"),AND(AE81="Muy Alta",AG81="Leve"),AND(AE81="Muy Alta",AG81="Menor"),AND(AE81="Muy Alta",AG81="Moderado"),AND(AE81="Muy Alta",AG81="Mayor")),"Alto",IF(OR(AND(AE81="Muy Baja",AG81="Catastrófico"),AND(AE81="Baja",AG81="Catastrófico"),AND(AE81="Media",AG81="Catastrófico"),AND(AE81="Alta",AG81="Catastrófico"),AND(AE81="Muy Alta",AG81="Catastrófico")),"Extremo","")))),"")</f>
        <v>Moderado</v>
      </c>
      <c r="AJ81" s="83" t="str">
        <f>$AI$109</f>
        <v>Moderado</v>
      </c>
      <c r="AK81" s="147" t="s">
        <v>30</v>
      </c>
      <c r="AL81" s="144"/>
      <c r="AM81" s="144"/>
      <c r="AN81" s="181"/>
      <c r="AO81" s="181"/>
      <c r="AP81" s="144"/>
      <c r="AQ81" s="183"/>
    </row>
    <row r="82" spans="2:43" ht="95.25" customHeight="1" x14ac:dyDescent="0.2">
      <c r="B82" s="441"/>
      <c r="C82" s="423" t="s">
        <v>468</v>
      </c>
      <c r="D82" s="393">
        <v>57</v>
      </c>
      <c r="E82" s="385" t="s">
        <v>665</v>
      </c>
      <c r="F82" s="387" t="s">
        <v>508</v>
      </c>
      <c r="G82" s="389" t="s">
        <v>672</v>
      </c>
      <c r="H82" s="391" t="s">
        <v>563</v>
      </c>
      <c r="I82" s="393" t="s">
        <v>565</v>
      </c>
      <c r="J82" s="387" t="s">
        <v>118</v>
      </c>
      <c r="K82" s="393" t="s">
        <v>624</v>
      </c>
      <c r="L82" s="394">
        <v>39</v>
      </c>
      <c r="M82" s="395" t="str">
        <f>IF(L82&lt;=0,"",IF(L82&lt;=2,"Muy Baja",IF(L82&lt;=24,"Baja",IF(L82&lt;=500,"Media",IF(L82&lt;=5000,"Alta","Muy Alta")))))</f>
        <v>Media</v>
      </c>
      <c r="N82" s="405">
        <f>IF(M82="","",IF(M82="Muy Baja",0.2,IF(M82="Baja",0.4,IF(M82="Media",0.6,IF(M82="Alta",0.8,IF(M82="Muy Alta",1,))))))</f>
        <v>0.6</v>
      </c>
      <c r="O82" s="406" t="s">
        <v>146</v>
      </c>
      <c r="P82" s="405" t="s">
        <v>146</v>
      </c>
      <c r="Q82" s="395" t="str">
        <f>IF(OR(P82='Tabla Impacto'!$C$11,P82='Tabla Impacto'!$D$11),"Leve",IF(OR(P82='Tabla Impacto'!$C$12,P82='Tabla Impacto'!$D$12),"Menor",IF(OR(P82='Tabla Impacto'!$C$13,P82='Tabla Impacto'!$D$13),"Moderado",IF(OR(P82='Tabla Impacto'!$C$14,P82:P82='Tabla Impacto'!$D$14),"Mayor",IF(OR(P82='Tabla Impacto'!$C$15,P82='Tabla Impacto'!$D$15),"Catastrófico","")))))</f>
        <v>Mayor</v>
      </c>
      <c r="R82" s="405">
        <f>IF(Q82="","",IF(Q82="Leve",0.2,IF(Q82="Menor",0.4,IF(Q82="Moderado",0.6,IF(Q82="Mayor",0.8,IF(Q82="Catastrófico",1,))))))</f>
        <v>0.8</v>
      </c>
      <c r="S82" s="384" t="str">
        <f>IF(OR(AND(M82="Muy Baja",Q82="Leve"),AND(M82="Muy Baja",Q82="Menor"),AND(M82="Baja",Q82="Leve")),"Bajo",IF(OR(AND(M82="Muy baja",Q82="Moderado"),AND(M82="Baja",Q82="Menor"),AND(M82="Baja",Q82="Moderado"),AND(M82="Media",Q82="Leve"),AND(M82="Media",Q82="Menor"),AND(M82="Media",Q82="Moderado"),AND(M82="Alta",Q82="Leve"),AND(M82="Alta",Q82="Menor")),"Moderado",IF(OR(AND(M82="Muy Baja",Q82="Mayor"),AND(M82="Baja",Q82="Mayor"),AND(M82="Media",Q82="Mayor"),AND(M82="Alta",Q82="Moderado"),AND(M82="Alta",Q82="Mayor"),AND(M82="Muy Alta",Q82="Leve"),AND(M82="Muy Alta",Q82="Menor"),AND(M82="Muy Alta",Q82="Moderado"),AND(M82="Muy Alta",Q82="Mayor")),"Alto",IF(OR(AND(M82="Muy Baja",Q82="Catastrófico"),AND(M82="Baja",Q82="Catastrófico"),AND(M82="Media",Q82="Catastrófico"),AND(M82="Alta",Q82="Catastrófico"),AND(M82="Muy Alta",Q82="Catastrófico")),"Extremo",""))))</f>
        <v>Alto</v>
      </c>
      <c r="T82" s="143">
        <v>1</v>
      </c>
      <c r="U82" s="140" t="s">
        <v>757</v>
      </c>
      <c r="V82" s="124" t="str">
        <f t="shared" si="153"/>
        <v>Probabilidad</v>
      </c>
      <c r="W82" s="125" t="s">
        <v>12</v>
      </c>
      <c r="X82" s="125" t="s">
        <v>7</v>
      </c>
      <c r="Y82" s="81" t="str">
        <f>IF(AND(W82="Preventivo",X82="Automático"),"50%",IF(AND(W82="Preventivo",X82="Manual"),"40%",IF(AND(W82="Detectivo",X82="Automático"),"40%",IF(AND(W82="Detectivo",X82="Manual"),"30%",IF(AND(W82="Correctivo",X82="Automático"),"35%",IF(AND(W82="Correctivo",X82="Manual"),"25%",""))))))</f>
        <v>40%</v>
      </c>
      <c r="Z82" s="169" t="s">
        <v>17</v>
      </c>
      <c r="AA82" s="170" t="s">
        <v>20</v>
      </c>
      <c r="AB82" s="171" t="s">
        <v>114</v>
      </c>
      <c r="AC82" s="145" t="s">
        <v>758</v>
      </c>
      <c r="AD82" s="164">
        <f>IFERROR(IF(V82="Probabilidad",(N82-(+N82*Y82)),IF(V82="Impacto",N82,"")),"")</f>
        <v>0.36</v>
      </c>
      <c r="AE82" s="151" t="str">
        <f>IFERROR(IF(AD82="","",IF(AD82&lt;=0.2,"Muy Baja",IF(AD82&lt;=0.4,"Baja",IF(AD82&lt;=0.6,"Media",IF(AD82&lt;=0.8,"Alta","Muy Alta"))))),"")</f>
        <v>Baja</v>
      </c>
      <c r="AF82" s="81">
        <f>+AD82</f>
        <v>0.36</v>
      </c>
      <c r="AG82" s="82" t="str">
        <f>IFERROR(IF(AH82="","",IF(AH82&lt;=0.2,"Leve",IF(AH82&lt;=0.4,"Menor",IF(AH82&lt;=0.6,"Moderado",IF(AH82&lt;=0.8,"Mayor","Catastrófico"))))),"")</f>
        <v>Mayor</v>
      </c>
      <c r="AH82" s="81">
        <f>IFERROR(IF(V82="Impacto",(R82-(+R82*Y82)),IF(V82="Probabilidad",R82,"")),"")</f>
        <v>0.8</v>
      </c>
      <c r="AI82" s="83" t="str">
        <f>IFERROR(IF(OR(AND(AE82="Muy Baja",AG82="Leve"),AND(AE82="Muy Baja",AG82="Menor"),AND(AE82="Baja",AG82="Leve")),"Bajo",IF(OR(AND(AE82="Muy baja",AG82="Moderado"),AND(AE82="Baja",AG82="Menor"),AND(AE82="Baja",AG82="Moderado"),AND(AE82="Media",AG82="Leve"),AND(AE82="Media",AG82="Menor"),AND(AE82="Media",AG82="Moderado"),AND(AE82="Alta",AG82="Leve"),AND(AE82="Alta",AG82="Menor")),"Moderado",IF(OR(AND(AE82="Muy Baja",AG82="Mayor"),AND(AE82="Baja",AG82="Mayor"),AND(AE82="Media",AG82="Mayor"),AND(AE82="Alta",AG82="Moderado"),AND(AE82="Alta",AG82="Mayor"),AND(AE82="Muy Alta",AG82="Leve"),AND(AE82="Muy Alta",AG82="Menor"),AND(AE82="Muy Alta",AG82="Moderado"),AND(AE82="Muy Alta",AG82="Mayor")),"Alto",IF(OR(AND(AE82="Muy Baja",AG82="Catastrófico"),AND(AE82="Baja",AG82="Catastrófico"),AND(AE82="Media",AG82="Catastrófico"),AND(AE82="Alta",AG82="Catastrófico"),AND(AE82="Muy Alta",AG82="Catastrófico")),"Extremo","")))),"")</f>
        <v>Alto</v>
      </c>
      <c r="AJ82" s="413" t="str">
        <f>$AI$111</f>
        <v>Moderado</v>
      </c>
      <c r="AK82" s="401" t="s">
        <v>30</v>
      </c>
      <c r="AL82" s="388"/>
      <c r="AM82" s="388"/>
      <c r="AN82" s="403"/>
      <c r="AO82" s="403"/>
      <c r="AP82" s="388"/>
      <c r="AQ82" s="399"/>
    </row>
    <row r="83" spans="2:43" ht="130.5" customHeight="1" x14ac:dyDescent="0.2">
      <c r="B83" s="392"/>
      <c r="C83" s="424"/>
      <c r="D83" s="393"/>
      <c r="E83" s="386"/>
      <c r="F83" s="388"/>
      <c r="G83" s="390"/>
      <c r="H83" s="392"/>
      <c r="I83" s="393"/>
      <c r="J83" s="387"/>
      <c r="K83" s="393"/>
      <c r="L83" s="394"/>
      <c r="M83" s="395"/>
      <c r="N83" s="405"/>
      <c r="O83" s="406"/>
      <c r="P83" s="405"/>
      <c r="Q83" s="395"/>
      <c r="R83" s="405"/>
      <c r="S83" s="384"/>
      <c r="T83" s="143">
        <v>2</v>
      </c>
      <c r="U83" s="140" t="s">
        <v>759</v>
      </c>
      <c r="V83" s="124" t="str">
        <f t="shared" si="153"/>
        <v>Probabilidad</v>
      </c>
      <c r="W83" s="125" t="s">
        <v>12</v>
      </c>
      <c r="X83" s="125" t="s">
        <v>7</v>
      </c>
      <c r="Y83" s="81" t="str">
        <f t="shared" ref="Y83" si="155">IF(AND(W83="Preventivo",X83="Automático"),"50%",IF(AND(W83="Preventivo",X83="Manual"),"40%",IF(AND(W83="Detectivo",X83="Automático"),"40%",IF(AND(W83="Detectivo",X83="Manual"),"30%",IF(AND(W83="Correctivo",X83="Automático"),"35%",IF(AND(W83="Correctivo",X83="Manual"),"25%",""))))))</f>
        <v>40%</v>
      </c>
      <c r="Z83" s="169" t="s">
        <v>17</v>
      </c>
      <c r="AA83" s="170" t="s">
        <v>20</v>
      </c>
      <c r="AB83" s="171" t="s">
        <v>114</v>
      </c>
      <c r="AC83" s="145" t="s">
        <v>760</v>
      </c>
      <c r="AD83" s="164">
        <f>IFERROR(IF(AND(V82="Probabilidad",V83="Probabilidad"),(AF82-(+AF82*Y83)),IF(V83="Probabilidad",(N82-(+N82*Y83)),IF(V83="Impacto",AF82,""))),"")</f>
        <v>0.216</v>
      </c>
      <c r="AE83" s="151" t="str">
        <f t="shared" ref="AE83" si="156">IFERROR(IF(AD83="","",IF(AD83&lt;=0.2,"Muy Baja",IF(AD83&lt;=0.4,"Baja",IF(AD83&lt;=0.6,"Media",IF(AD83&lt;=0.8,"Alta","Muy Alta"))))),"")</f>
        <v>Baja</v>
      </c>
      <c r="AF83" s="81">
        <f t="shared" ref="AF83" si="157">+AD83</f>
        <v>0.216</v>
      </c>
      <c r="AG83" s="82" t="str">
        <f t="shared" ref="AG83" si="158">IFERROR(IF(AH83="","",IF(AH83&lt;=0.2,"Leve",IF(AH83&lt;=0.4,"Menor",IF(AH83&lt;=0.6,"Moderado",IF(AH83&lt;=0.8,"Mayor","Catastrófico"))))),"")</f>
        <v>Moderado</v>
      </c>
      <c r="AH83" s="152">
        <f>IFERROR(IF(AND(V82="Impacto",V83="Impacto"),(AH81-(+AH81*Y83)),IF(V83="Impacto",($M$13-(+$M$13*Y83)),IF(V83="Probabilidad",AH81,""))),"")</f>
        <v>0.6</v>
      </c>
      <c r="AI83" s="83" t="str">
        <f t="shared" ref="AI83" si="159">IFERROR(IF(OR(AND(AE83="Muy Baja",AG83="Leve"),AND(AE83="Muy Baja",AG83="Menor"),AND(AE83="Baja",AG83="Leve")),"Bajo",IF(OR(AND(AE83="Muy baja",AG83="Moderado"),AND(AE83="Baja",AG83="Menor"),AND(AE83="Baja",AG83="Moderado"),AND(AE83="Media",AG83="Leve"),AND(AE83="Media",AG83="Menor"),AND(AE83="Media",AG83="Moderado"),AND(AE83="Alta",AG83="Leve"),AND(AE83="Alta",AG83="Menor")),"Moderado",IF(OR(AND(AE83="Muy Baja",AG83="Mayor"),AND(AE83="Baja",AG83="Mayor"),AND(AE83="Media",AG83="Mayor"),AND(AE83="Alta",AG83="Moderado"),AND(AE83="Alta",AG83="Mayor"),AND(AE83="Muy Alta",AG83="Leve"),AND(AE83="Muy Alta",AG83="Menor"),AND(AE83="Muy Alta",AG83="Moderado"),AND(AE83="Muy Alta",AG83="Mayor")),"Alto",IF(OR(AND(AE83="Muy Baja",AG83="Catastrófico"),AND(AE83="Baja",AG83="Catastrófico"),AND(AE83="Media",AG83="Catastrófico"),AND(AE83="Alta",AG83="Catastrófico"),AND(AE83="Muy Alta",AG83="Catastrófico")),"Extremo","")))),"")</f>
        <v>Moderado</v>
      </c>
      <c r="AJ83" s="413"/>
      <c r="AK83" s="402"/>
      <c r="AL83" s="396"/>
      <c r="AM83" s="396"/>
      <c r="AN83" s="404"/>
      <c r="AO83" s="404"/>
      <c r="AP83" s="396"/>
      <c r="AQ83" s="400"/>
    </row>
    <row r="84" spans="2:43" ht="120.75" customHeight="1" x14ac:dyDescent="0.2">
      <c r="B84" s="425" t="s">
        <v>480</v>
      </c>
      <c r="C84" s="428" t="s">
        <v>480</v>
      </c>
      <c r="D84" s="143">
        <v>58</v>
      </c>
      <c r="E84" s="212" t="s">
        <v>481</v>
      </c>
      <c r="F84" s="140" t="s">
        <v>484</v>
      </c>
      <c r="G84" s="136" t="s">
        <v>612</v>
      </c>
      <c r="H84" s="143" t="s">
        <v>563</v>
      </c>
      <c r="I84" s="143" t="s">
        <v>565</v>
      </c>
      <c r="J84" s="140" t="s">
        <v>118</v>
      </c>
      <c r="K84" s="143" t="s">
        <v>624</v>
      </c>
      <c r="L84" s="265">
        <v>26</v>
      </c>
      <c r="M84" s="192" t="str">
        <f>IF(L84&lt;=0,"",IF(L84&lt;=2,"Muy Baja",IF(L84&lt;=24,"Baja",IF(L84&lt;=500,"Media",IF(L84&lt;=5000,"Alta","Muy Alta")))))</f>
        <v>Media</v>
      </c>
      <c r="N84" s="193">
        <f>IF(M84="","",IF(M84="Muy Baja",0.2,IF(M84="Baja",0.4,IF(M84="Media",0.6,IF(M84="Alta",0.8,IF(M84="Muy Alta",1,))))))</f>
        <v>0.6</v>
      </c>
      <c r="O84" s="294" t="s">
        <v>145</v>
      </c>
      <c r="P84" s="193" t="s">
        <v>145</v>
      </c>
      <c r="Q84" s="192" t="str">
        <f>IF(OR(P84:P84='Tabla Impacto'!$C$11,P84='Tabla Impacto'!$D$11),"Leve",IF(OR(P84='Tabla Impacto'!$C$12,P84='Tabla Impacto'!$D$12),"Menor",IF(OR(P84='Tabla Impacto'!$C$13,P84='Tabla Impacto'!$D$13),"Moderado",IF(OR(P84='Tabla Impacto'!$C$14,P84:P84='Tabla Impacto'!$D$14),"Mayor",IF(OR(P84='Tabla Impacto'!$C$15,P84='Tabla Impacto'!$D$15),"Catastrófico","")))))</f>
        <v>Moderado</v>
      </c>
      <c r="R84" s="189">
        <f>IF(Q79="","",IF(Q79="Leve",0.2,IF(Q79="Menor",0.4,IF(Q79="Moderado",0.6,IF(Q79="Mayor",0.8,IF(Q79="Catastrófico",1,))))))</f>
        <v>0.6</v>
      </c>
      <c r="S84" s="245" t="str">
        <f>IF(OR(AND(M84="Muy Baja",Q79="Leve"),AND(M84="Muy Baja",Q79="Menor"),AND(M84="Baja",Q79="Leve")),"Bajo",IF(OR(AND(M84="Muy baja",Q79="Moderado"),AND(M84="Baja",Q79="Menor"),AND(M84="Baja",Q79="Moderado"),AND(M84="Media",Q79="Leve"),AND(M84="Media",Q79="Menor"),AND(M84="Media",Q79="Moderado"),AND(M84="Alta",Q79="Leve"),AND(M84="Alta",Q79="Menor")),"Moderado",IF(OR(AND(M84="Muy Baja",Q79="Mayor"),AND(M84="Baja",Q79="Mayor"),AND(M84="Media",Q79="Mayor"),AND(M84="Alta",Q79="Moderado"),AND(M84="Alta",Q79="Mayor"),AND(M84="Muy Alta",Q79="Leve"),AND(M84="Muy Alta",Q79="Menor"),AND(M84="Muy Alta",Q79="Moderado"),AND(M84="Muy Alta",Q79="Mayor")),"Alto",IF(OR(AND(M84="Muy Baja",Q79="Catastrófico"),AND(M84="Baja",Q79="Catastrófico"),AND(M84="Media",Q79="Catastrófico"),AND(M84="Alta",Q79="Catastrófico"),AND(M84="Muy Alta",Q79="Catastrófico")),"Extremo",""))))</f>
        <v>Moderado</v>
      </c>
      <c r="T84" s="141">
        <v>1</v>
      </c>
      <c r="U84" s="144" t="s">
        <v>493</v>
      </c>
      <c r="V84" s="146" t="str">
        <f t="shared" si="109"/>
        <v>Probabilidad</v>
      </c>
      <c r="W84" s="147" t="s">
        <v>12</v>
      </c>
      <c r="X84" s="147" t="s">
        <v>7</v>
      </c>
      <c r="Y84" s="148" t="str">
        <f>IF(AND(W84="Preventivo",X84="Automático"),"50%",IF(AND(W84="Preventivo",X84="Manual"),"40%",IF(AND(W84="Detectivo",X84="Automático"),"40%",IF(AND(W84="Detectivo",X84="Manual"),"30%",IF(AND(W84="Correctivo",X84="Automático"),"35%",IF(AND(W84="Correctivo",X84="Manual"),"25%",""))))))</f>
        <v>40%</v>
      </c>
      <c r="Z84" s="161" t="s">
        <v>17</v>
      </c>
      <c r="AA84" s="162" t="s">
        <v>20</v>
      </c>
      <c r="AB84" s="163" t="s">
        <v>114</v>
      </c>
      <c r="AC84" s="145" t="s">
        <v>494</v>
      </c>
      <c r="AD84" s="273">
        <f>IFERROR(IF(V84="Probabilidad",(N84-(+N84*Y84)),IF(V84="Impacto",N84,"")),"")</f>
        <v>0.36</v>
      </c>
      <c r="AE84" s="165" t="str">
        <f>IFERROR(IF(AD84="","",IF(AD84&lt;=0.2,"Muy Baja",IF(AD84&lt;=0.4,"Baja",IF(AD84&lt;=0.6,"Media",IF(AD84&lt;=0.8,"Alta","Muy Alta"))))),"")</f>
        <v>Baja</v>
      </c>
      <c r="AF84" s="148">
        <f>+AD84</f>
        <v>0.36</v>
      </c>
      <c r="AG84" s="166" t="str">
        <f>IFERROR(IF(AH84="","",IF(AH84&lt;=0.2,"Leve",IF(AH84&lt;=0.4,"Menor",IF(AH84&lt;=0.6,"Moderado",IF(AH84&lt;=0.8,"Mayor","Catastrófico"))))),"")</f>
        <v>Moderado</v>
      </c>
      <c r="AH84" s="148">
        <f>IFERROR(IF(V84="Impacto",(R84-(+R84*Y84)),IF(V84="Probabilidad",R84,"")),"")</f>
        <v>0.6</v>
      </c>
      <c r="AI84" s="167" t="str">
        <f>IFERROR(IF(OR(AND(AE84="Muy Baja",AG84="Leve"),AND(AE84="Muy Baja",AG84="Menor"),AND(AE84="Baja",AG84="Leve")),"Bajo",IF(OR(AND(AE84="Muy baja",AG84="Moderado"),AND(AE84="Baja",AG84="Menor"),AND(AE84="Baja",AG84="Moderado"),AND(AE84="Media",AG84="Leve"),AND(AE84="Media",AG84="Menor"),AND(AE84="Media",AG84="Moderado"),AND(AE84="Alta",AG84="Leve"),AND(AE84="Alta",AG84="Menor")),"Moderado",IF(OR(AND(AE84="Muy Baja",AG84="Mayor"),AND(AE84="Baja",AG84="Mayor"),AND(AE84="Media",AG84="Mayor"),AND(AE84="Alta",AG84="Moderado"),AND(AE84="Alta",AG84="Mayor"),AND(AE84="Muy Alta",AG84="Leve"),AND(AE84="Muy Alta",AG84="Menor"),AND(AE84="Muy Alta",AG84="Moderado"),AND(AE84="Muy Alta",AG84="Mayor")),"Alto",IF(OR(AND(AE84="Muy Baja",AG84="Catastrófico"),AND(AE84="Baja",AG84="Catastrófico"),AND(AE84="Media",AG84="Catastrófico"),AND(AE84="Alta",AG84="Catastrófico"),AND(AE84="Muy Alta",AG84="Catastrófico")),"Extremo","")))),"")</f>
        <v>Moderado</v>
      </c>
      <c r="AJ84" s="167" t="str">
        <f>AI84</f>
        <v>Moderado</v>
      </c>
      <c r="AK84" s="288" t="s">
        <v>30</v>
      </c>
      <c r="AL84" s="275"/>
      <c r="AM84" s="233"/>
      <c r="AN84" s="239"/>
      <c r="AO84" s="84"/>
      <c r="AP84" s="145"/>
      <c r="AQ84" s="142"/>
    </row>
    <row r="85" spans="2:43" ht="201" customHeight="1" x14ac:dyDescent="0.2">
      <c r="B85" s="425"/>
      <c r="C85" s="428"/>
      <c r="D85" s="143">
        <v>59</v>
      </c>
      <c r="E85" s="331" t="s">
        <v>482</v>
      </c>
      <c r="F85" s="303" t="s">
        <v>485</v>
      </c>
      <c r="G85" s="210" t="s">
        <v>613</v>
      </c>
      <c r="H85" s="141" t="s">
        <v>563</v>
      </c>
      <c r="I85" s="141" t="s">
        <v>565</v>
      </c>
      <c r="J85" s="302" t="s">
        <v>118</v>
      </c>
      <c r="K85" s="141" t="s">
        <v>624</v>
      </c>
      <c r="L85" s="195">
        <v>12</v>
      </c>
      <c r="M85" s="192" t="str">
        <f>IF(L85&lt;=0,"",IF(L85&lt;=2,"Muy Baja",IF(L85&lt;=24,"Baja",IF(L85&lt;=500,"Media",IF(L85&lt;=5000,"Alta","Muy Alta")))))</f>
        <v>Baja</v>
      </c>
      <c r="N85" s="201">
        <f>IF(M85="","",IF(M85="Muy Baja",0.2,IF(M85="Baja",0.4,IF(M85="Media",0.6,IF(M85="Alta",0.8,IF(M85="Muy Alta",1,))))))</f>
        <v>0.4</v>
      </c>
      <c r="O85" s="261" t="s">
        <v>137</v>
      </c>
      <c r="P85" s="258" t="s">
        <v>137</v>
      </c>
      <c r="Q85" s="188" t="str">
        <f>IF(OR(P85='Tabla Impacto'!$C$11,P85='Tabla Impacto'!$D$11),"Leve",IF(OR(P85='Tabla Impacto'!$C$12,P85='Tabla Impacto'!$D$12),"Menor",IF(OR(P85='Tabla Impacto'!$C$13,P77='Tabla Impacto'!$D$13),"Moderado",IF(OR(P85='Tabla Impacto'!$C$14,P85:P85='Tabla Impacto'!$D$14),"Mayor",IF(OR(P85='Tabla Impacto'!$C$15,P85='Tabla Impacto'!$D$15),"Catastrófico","")))))</f>
        <v>Moderado</v>
      </c>
      <c r="R85" s="190">
        <f>IF(Q85="","",IF(Q85="Leve",0.2,IF(Q85="Menor",0.4,IF(Q85="Moderado",0.6,IF(Q85="Mayor",0.8,IF(Q85="Catastrófico",1,))))))</f>
        <v>0.6</v>
      </c>
      <c r="S85" s="247" t="str">
        <f>IF(OR(AND(M85="Muy Baja",Q85="Leve"),AND(M85="Muy Baja",Q85="Menor"),AND(M85="Baja",Q85="Leve")),"Bajo",IF(OR(AND(M85="Muy baja",Q85="Moderado"),AND(M85="Baja",Q85="Menor"),AND(M85="Baja",Q85="Moderado"),AND(M85="Media",Q85="Leve"),AND(M85="Media",Q85="Menor"),AND(M85="Media",Q85="Moderado"),AND(M85="Alta",Q85="Leve"),AND(M85="Alta",Q85="Menor")),"Moderado",IF(OR(AND(M85="Muy Baja",Q85="Mayor"),AND(M85="Baja",Q85="Mayor"),AND(M85="Media",Q85="Mayor"),AND(M85="Alta",Q85="Moderado"),AND(M85="Alta",Q85="Mayor"),AND(M85="Muy Alta",Q85="Leve"),AND(M85="Muy Alta",Q85="Menor"),AND(M85="Muy Alta",Q85="Moderado"),AND(M85="Muy Alta",Q85="Mayor")),"Alto",IF(OR(AND(M85="Muy Baja",Q85="Catastrófico"),AND(M85="Baja",Q85="Catastrófico"),AND(M85="Media",Q85="Catastrófico"),AND(M85="Alta",Q85="Catastrófico"),AND(M85="Muy Alta",Q85="Catastrófico")),"Extremo",""))))</f>
        <v>Moderado</v>
      </c>
      <c r="T85" s="220">
        <v>1</v>
      </c>
      <c r="U85" s="224" t="s">
        <v>487</v>
      </c>
      <c r="V85" s="149" t="str">
        <f t="shared" si="109"/>
        <v>Probabilidad</v>
      </c>
      <c r="W85" s="168" t="s">
        <v>12</v>
      </c>
      <c r="X85" s="168" t="s">
        <v>7</v>
      </c>
      <c r="Y85" s="150" t="str">
        <f>IF(AND(W85="Preventivo",X85="Automático"),"50%",IF(AND(W85="Preventivo",X85="Manual"),"40%",IF(AND(W85="Detectivo",X85="Automático"),"40%",IF(AND(W85="Detectivo",X85="Manual"),"30%",IF(AND(W85="Correctivo",X85="Automático"),"35%",IF(AND(W85="Correctivo",X85="Manual"),"25%",""))))))</f>
        <v>40%</v>
      </c>
      <c r="Z85" s="169" t="s">
        <v>17</v>
      </c>
      <c r="AA85" s="170" t="s">
        <v>20</v>
      </c>
      <c r="AB85" s="171" t="s">
        <v>114</v>
      </c>
      <c r="AC85" s="145" t="s">
        <v>488</v>
      </c>
      <c r="AD85" s="164">
        <f>IFERROR(IF(V85="Probabilidad",(N85-(+N85*Y85)),IF(V85="Impacto",N85,"")),"")</f>
        <v>0.24</v>
      </c>
      <c r="AE85" s="151" t="str">
        <f>IFERROR(IF(AD85="","",IF(AD85&lt;=0.2,"Muy Baja",IF(AD85&lt;=0.4,"Baja",IF(AD85&lt;=0.6,"Media",IF(AD85&lt;=0.8,"Alta","Muy Alta"))))),"")</f>
        <v>Baja</v>
      </c>
      <c r="AF85" s="81">
        <f>+AD85</f>
        <v>0.24</v>
      </c>
      <c r="AG85" s="82" t="str">
        <f>IFERROR(IF(AH85="","",IF(AH85&lt;=0.2,"Leve",IF(AH85&lt;=0.4,"Menor",IF(AH85&lt;=0.6,"Moderado",IF(AH85&lt;=0.8,"Mayor","Catastrófico"))))),"")</f>
        <v>Moderado</v>
      </c>
      <c r="AH85" s="81">
        <f>IFERROR(IF(V85="Impacto",(R85-(+R85*Y85)),IF(V85="Probabilidad",R85,"")),"")</f>
        <v>0.6</v>
      </c>
      <c r="AI85" s="83" t="str">
        <f>IFERROR(IF(OR(AND(AE85="Muy Baja",AG85="Leve"),AND(AE85="Muy Baja",AG85="Menor"),AND(AE85="Baja",AG85="Leve")),"Bajo",IF(OR(AND(AE85="Muy baja",AG85="Moderado"),AND(AE85="Baja",AG85="Menor"),AND(AE85="Baja",AG85="Moderado"),AND(AE85="Media",AG85="Leve"),AND(AE85="Media",AG85="Menor"),AND(AE85="Media",AG85="Moderado"),AND(AE85="Alta",AG85="Leve"),AND(AE85="Alta",AG85="Menor")),"Moderado",IF(OR(AND(AE85="Muy Baja",AG85="Mayor"),AND(AE85="Baja",AG85="Mayor"),AND(AE85="Media",AG85="Mayor"),AND(AE85="Alta",AG85="Moderado"),AND(AE85="Alta",AG85="Mayor"),AND(AE85="Muy Alta",AG85="Leve"),AND(AE85="Muy Alta",AG85="Menor"),AND(AE85="Muy Alta",AG85="Moderado"),AND(AE85="Muy Alta",AG85="Mayor")),"Alto",IF(OR(AND(AE85="Muy Baja",AG85="Catastrófico"),AND(AE85="Baja",AG85="Catastrófico"),AND(AE85="Media",AG85="Catastrófico"),AND(AE85="Alta",AG85="Catastrófico"),AND(AE85="Muy Alta",AG85="Catastrófico")),"Extremo","")))),"")</f>
        <v>Moderado</v>
      </c>
      <c r="AJ85" s="83" t="str">
        <f>$AI$85</f>
        <v>Moderado</v>
      </c>
      <c r="AK85" s="288" t="s">
        <v>30</v>
      </c>
      <c r="AL85" s="158"/>
      <c r="AM85" s="158"/>
      <c r="AN85" s="158"/>
      <c r="AO85" s="158"/>
      <c r="AP85" s="158"/>
      <c r="AQ85" s="158"/>
    </row>
    <row r="86" spans="2:43" ht="72" customHeight="1" x14ac:dyDescent="0.2">
      <c r="B86" s="425"/>
      <c r="C86" s="428"/>
      <c r="D86" s="393">
        <v>60</v>
      </c>
      <c r="E86" s="429" t="s">
        <v>483</v>
      </c>
      <c r="F86" s="430" t="s">
        <v>486</v>
      </c>
      <c r="G86" s="389" t="s">
        <v>614</v>
      </c>
      <c r="H86" s="391" t="s">
        <v>563</v>
      </c>
      <c r="I86" s="391" t="s">
        <v>565</v>
      </c>
      <c r="J86" s="387" t="s">
        <v>118</v>
      </c>
      <c r="K86" s="391" t="s">
        <v>624</v>
      </c>
      <c r="L86" s="394">
        <f>10*12</f>
        <v>120</v>
      </c>
      <c r="M86" s="395" t="str">
        <f>IF(L86&lt;=0,"",IF(L86&lt;=2,"Muy Baja",IF(L86&lt;=24,"Baja",IF(L86&lt;=500,"Media",IF(L86&lt;=5000,"Alta","Muy Alta")))))</f>
        <v>Media</v>
      </c>
      <c r="N86" s="405">
        <f>IF(M86="","",IF(M86="Muy Baja",0.2,IF(M86="Baja",0.4,IF(M86="Media",0.6,IF(M86="Alta",0.8,IF(M86="Muy Alta",1,))))))</f>
        <v>0.6</v>
      </c>
      <c r="O86" s="406" t="s">
        <v>145</v>
      </c>
      <c r="P86" s="405" t="s">
        <v>145</v>
      </c>
      <c r="Q86" s="395" t="str">
        <f>IF(OR(P86='Tabla Impacto'!$C$11,P86='Tabla Impacto'!$D$11),"Leve",IF(OR(P86='Tabla Impacto'!$C$12,P86='Tabla Impacto'!$D$12),"Menor",IF(OR(P86='Tabla Impacto'!$C$13,P86='Tabla Impacto'!$D$13),"Moderado",IF(OR(P86='Tabla Impacto'!$C$14,P86:P86='Tabla Impacto'!$D$14),"Mayor",IF(OR(P86='Tabla Impacto'!$C$15,P86='Tabla Impacto'!$D$15),"Catastrófico","")))))</f>
        <v>Moderado</v>
      </c>
      <c r="R86" s="405">
        <f>IF(Q86="","",IF(Q86="Leve",0.2,IF(Q86="Menor",0.4,IF(Q86="Moderado",0.6,IF(Q86="Mayor",0.8,IF(Q86="Catastrófico",1,))))))</f>
        <v>0.6</v>
      </c>
      <c r="S86" s="384" t="str">
        <f>IF(OR(AND(M86="Muy Baja",Q86="Leve"),AND(M86="Muy Baja",Q86="Menor"),AND(M86="Baja",Q86="Leve")),"Bajo",IF(OR(AND(M86="Muy baja",Q86="Moderado"),AND(M86="Baja",Q86="Menor"),AND(M86="Baja",Q86="Moderado"),AND(M86="Media",Q86="Leve"),AND(M86="Media",Q86="Menor"),AND(M86="Media",Q86="Moderado"),AND(M86="Alta",Q86="Leve"),AND(M86="Alta",Q86="Menor")),"Moderado",IF(OR(AND(M86="Muy Baja",Q86="Mayor"),AND(M86="Baja",Q86="Mayor"),AND(M86="Media",Q86="Mayor"),AND(M86="Alta",Q86="Moderado"),AND(M86="Alta",Q86="Mayor"),AND(M86="Muy Alta",Q86="Leve"),AND(M86="Muy Alta",Q86="Menor"),AND(M86="Muy Alta",Q86="Moderado"),AND(M86="Muy Alta",Q86="Mayor")),"Alto",IF(OR(AND(M86="Muy Baja",Q86="Catastrófico"),AND(M86="Baja",Q86="Catastrófico"),AND(M86="Media",Q86="Catastrófico"),AND(M86="Alta",Q86="Catastrófico"),AND(M86="Muy Alta",Q86="Catastrófico")),"Extremo",""))))</f>
        <v>Moderado</v>
      </c>
      <c r="T86" s="143">
        <v>1</v>
      </c>
      <c r="U86" s="140" t="s">
        <v>489</v>
      </c>
      <c r="V86" s="178" t="str">
        <f t="shared" si="109"/>
        <v>Probabilidad</v>
      </c>
      <c r="W86" s="168" t="s">
        <v>12</v>
      </c>
      <c r="X86" s="168" t="s">
        <v>7</v>
      </c>
      <c r="Y86" s="150" t="str">
        <f>IF(AND(W86="Preventivo",X86="Automático"),"50%",IF(AND(W86="Preventivo",X86="Manual"),"40%",IF(AND(W86="Detectivo",X86="Automático"),"40%",IF(AND(W86="Detectivo",X86="Manual"),"30%",IF(AND(W86="Correctivo",X86="Automático"),"35%",IF(AND(W86="Correctivo",X86="Manual"),"25%",""))))))</f>
        <v>40%</v>
      </c>
      <c r="Z86" s="169" t="s">
        <v>17</v>
      </c>
      <c r="AA86" s="170" t="s">
        <v>20</v>
      </c>
      <c r="AB86" s="171" t="s">
        <v>114</v>
      </c>
      <c r="AC86" s="145" t="s">
        <v>490</v>
      </c>
      <c r="AD86" s="164">
        <f>IFERROR(IF(V86="Probabilidad",(N86-(+N86*Y86)),IF(V86="Impacto",N86,"")),"")</f>
        <v>0.36</v>
      </c>
      <c r="AE86" s="151" t="str">
        <f>IFERROR(IF(AD86="","",IF(AD86&lt;=0.2,"Muy Baja",IF(AD86&lt;=0.4,"Baja",IF(AD86&lt;=0.6,"Media",IF(AD86&lt;=0.8,"Alta","Muy Alta"))))),"")</f>
        <v>Baja</v>
      </c>
      <c r="AF86" s="81">
        <f>+AD86</f>
        <v>0.36</v>
      </c>
      <c r="AG86" s="82" t="str">
        <f>IFERROR(IF(AH86="","",IF(AH86&lt;=0.2,"Leve",IF(AH86&lt;=0.4,"Menor",IF(AH86&lt;=0.6,"Moderado",IF(AH86&lt;=0.8,"Mayor","Catastrófico"))))),"")</f>
        <v>Moderado</v>
      </c>
      <c r="AH86" s="81">
        <f>IFERROR(IF(V86="Impacto",(R86-(+R86*Y86)),IF(V86="Probabilidad",R86,"")),"")</f>
        <v>0.6</v>
      </c>
      <c r="AI86" s="83" t="str">
        <f>IFERROR(IF(OR(AND(AE86="Muy Baja",AG86="Leve"),AND(AE86="Muy Baja",AG86="Menor"),AND(AE86="Baja",AG86="Leve")),"Bajo",IF(OR(AND(AE86="Muy baja",AG86="Moderado"),AND(AE86="Baja",AG86="Menor"),AND(AE86="Baja",AG86="Moderado"),AND(AE86="Media",AG86="Leve"),AND(AE86="Media",AG86="Menor"),AND(AE86="Media",AG86="Moderado"),AND(AE86="Alta",AG86="Leve"),AND(AE86="Alta",AG86="Menor")),"Moderado",IF(OR(AND(AE86="Muy Baja",AG86="Mayor"),AND(AE86="Baja",AG86="Mayor"),AND(AE86="Media",AG86="Mayor"),AND(AE86="Alta",AG86="Moderado"),AND(AE86="Alta",AG86="Mayor"),AND(AE86="Muy Alta",AG86="Leve"),AND(AE86="Muy Alta",AG86="Menor"),AND(AE86="Muy Alta",AG86="Moderado"),AND(AE86="Muy Alta",AG86="Mayor")),"Alto",IF(OR(AND(AE86="Muy Baja",AG86="Catastrófico"),AND(AE86="Baja",AG86="Catastrófico"),AND(AE86="Media",AG86="Catastrófico"),AND(AE86="Alta",AG86="Catastrófico"),AND(AE86="Muy Alta",AG86="Catastrófico")),"Extremo","")))),"")</f>
        <v>Moderado</v>
      </c>
      <c r="AJ86" s="436" t="str">
        <f t="shared" ref="AJ86" si="160">$AI$87</f>
        <v>Moderado</v>
      </c>
      <c r="AK86" s="401" t="s">
        <v>30</v>
      </c>
      <c r="AL86" s="158"/>
      <c r="AM86" s="158"/>
      <c r="AN86" s="158"/>
      <c r="AO86" s="158"/>
      <c r="AP86" s="158"/>
      <c r="AQ86" s="158"/>
    </row>
    <row r="87" spans="2:43" ht="137.25" customHeight="1" x14ac:dyDescent="0.2">
      <c r="B87" s="425"/>
      <c r="C87" s="428"/>
      <c r="D87" s="393"/>
      <c r="E87" s="429"/>
      <c r="F87" s="430"/>
      <c r="G87" s="390"/>
      <c r="H87" s="392"/>
      <c r="I87" s="392"/>
      <c r="J87" s="387"/>
      <c r="K87" s="392"/>
      <c r="L87" s="394"/>
      <c r="M87" s="395"/>
      <c r="N87" s="405"/>
      <c r="O87" s="406"/>
      <c r="P87" s="405"/>
      <c r="Q87" s="395"/>
      <c r="R87" s="405"/>
      <c r="S87" s="384"/>
      <c r="T87" s="143">
        <v>2</v>
      </c>
      <c r="U87" s="140" t="s">
        <v>491</v>
      </c>
      <c r="V87" s="178" t="str">
        <f t="shared" si="109"/>
        <v>Probabilidad</v>
      </c>
      <c r="W87" s="168" t="s">
        <v>12</v>
      </c>
      <c r="X87" s="168" t="s">
        <v>7</v>
      </c>
      <c r="Y87" s="150" t="str">
        <f t="shared" ref="Y87" si="161">IF(AND(W87="Preventivo",X87="Automático"),"50%",IF(AND(W87="Preventivo",X87="Manual"),"40%",IF(AND(W87="Detectivo",X87="Automático"),"40%",IF(AND(W87="Detectivo",X87="Manual"),"30%",IF(AND(W87="Correctivo",X87="Automático"),"35%",IF(AND(W87="Correctivo",X87="Manual"),"25%",""))))))</f>
        <v>40%</v>
      </c>
      <c r="Z87" s="169" t="s">
        <v>17</v>
      </c>
      <c r="AA87" s="170" t="s">
        <v>20</v>
      </c>
      <c r="AB87" s="171" t="s">
        <v>114</v>
      </c>
      <c r="AC87" s="145" t="s">
        <v>492</v>
      </c>
      <c r="AD87" s="164">
        <f>IFERROR(IF(AND(V86="Probabilidad",V87="Probabilidad"),(AF86-(+AF86*Y87)),IF(V87="Probabilidad",(N86-(+N86*Y87)),IF(V87="Impacto",AF86,""))),"")</f>
        <v>0.216</v>
      </c>
      <c r="AE87" s="151" t="str">
        <f t="shared" ref="AE87" si="162">IFERROR(IF(AD87="","",IF(AD87&lt;=0.2,"Muy Baja",IF(AD87&lt;=0.4,"Baja",IF(AD87&lt;=0.6,"Media",IF(AD87&lt;=0.8,"Alta","Muy Alta"))))),"")</f>
        <v>Baja</v>
      </c>
      <c r="AF87" s="81">
        <f t="shared" ref="AF87" si="163">+AD87</f>
        <v>0.216</v>
      </c>
      <c r="AG87" s="82" t="str">
        <f t="shared" ref="AG87" si="164">IFERROR(IF(AH87="","",IF(AH87&lt;=0.2,"Leve",IF(AH87&lt;=0.4,"Menor",IF(AH87&lt;=0.6,"Moderado",IF(AH87&lt;=0.8,"Mayor","Catastrófico"))))),"")</f>
        <v>Moderado</v>
      </c>
      <c r="AH87" s="152">
        <f>IFERROR(IF(AND(V86="Impacto",V87="Impacto"),(AH86-(+AH86*Y87)),IF(V87="Impacto",(#REF!-(+#REF!*Y87)),IF(V87="Probabilidad",AH85,""))),"")</f>
        <v>0.6</v>
      </c>
      <c r="AI87" s="83" t="str">
        <f t="shared" ref="AI87" si="165">IFERROR(IF(OR(AND(AE87="Muy Baja",AG87="Leve"),AND(AE87="Muy Baja",AG87="Menor"),AND(AE87="Baja",AG87="Leve")),"Bajo",IF(OR(AND(AE87="Muy baja",AG87="Moderado"),AND(AE87="Baja",AG87="Menor"),AND(AE87="Baja",AG87="Moderado"),AND(AE87="Media",AG87="Leve"),AND(AE87="Media",AG87="Menor"),AND(AE87="Media",AG87="Moderado"),AND(AE87="Alta",AG87="Leve"),AND(AE87="Alta",AG87="Menor")),"Moderado",IF(OR(AND(AE87="Muy Baja",AG87="Mayor"),AND(AE87="Baja",AG87="Mayor"),AND(AE87="Media",AG87="Mayor"),AND(AE87="Alta",AG87="Moderado"),AND(AE87="Alta",AG87="Mayor"),AND(AE87="Muy Alta",AG87="Leve"),AND(AE87="Muy Alta",AG87="Menor"),AND(AE87="Muy Alta",AG87="Moderado"),AND(AE87="Muy Alta",AG87="Mayor")),"Alto",IF(OR(AND(AE87="Muy Baja",AG87="Catastrófico"),AND(AE87="Baja",AG87="Catastrófico"),AND(AE87="Media",AG87="Catastrófico"),AND(AE87="Alta",AG87="Catastrófico"),AND(AE87="Muy Alta",AG87="Catastrófico")),"Extremo","")))),"")</f>
        <v>Moderado</v>
      </c>
      <c r="AJ87" s="438"/>
      <c r="AK87" s="402"/>
      <c r="AL87" s="158"/>
      <c r="AM87" s="158"/>
      <c r="AN87" s="158"/>
      <c r="AO87" s="158"/>
      <c r="AP87" s="158"/>
      <c r="AQ87" s="158"/>
    </row>
    <row r="88" spans="2:43" ht="150" customHeight="1" x14ac:dyDescent="0.2">
      <c r="B88" s="202" t="s">
        <v>495</v>
      </c>
      <c r="C88" s="204" t="s">
        <v>496</v>
      </c>
      <c r="D88" s="143">
        <v>61</v>
      </c>
      <c r="E88" s="339" t="s">
        <v>497</v>
      </c>
      <c r="F88" s="199" t="s">
        <v>498</v>
      </c>
      <c r="G88" s="202" t="s">
        <v>615</v>
      </c>
      <c r="H88" s="220" t="s">
        <v>563</v>
      </c>
      <c r="I88" s="220" t="s">
        <v>565</v>
      </c>
      <c r="J88" s="199" t="s">
        <v>118</v>
      </c>
      <c r="K88" s="220" t="s">
        <v>624</v>
      </c>
      <c r="L88" s="198">
        <f>11000*12</f>
        <v>132000</v>
      </c>
      <c r="M88" s="188" t="str">
        <f>IF(L88&lt;=0,"",IF(L88&lt;=2,"Muy Baja",IF(L88&lt;=24,"Baja",IF(L88&lt;=500,"Media",IF(L88&lt;=5000,"Alta","Muy Alta")))))</f>
        <v>Muy Alta</v>
      </c>
      <c r="N88" s="193">
        <f>IF(M88="","",IF(M88="Muy Baja",0.2,IF(M88="Baja",0.4,IF(M88="Media",0.6,IF(M88="Alta",0.8,IF(M88="Muy Alta",1,))))))</f>
        <v>1</v>
      </c>
      <c r="O88" s="194" t="s">
        <v>146</v>
      </c>
      <c r="P88" s="193" t="s">
        <v>146</v>
      </c>
      <c r="Q88" s="192" t="str">
        <f>IF(OR(P88='Tabla Impacto'!$C$11,P88='Tabla Impacto'!$D$11),"Leve",IF(OR(P88='Tabla Impacto'!$C$12,P88='Tabla Impacto'!$D$12),"Menor",IF(OR(P88='Tabla Impacto'!$C$13,P88='Tabla Impacto'!$D$13),"Moderado",IF(OR(P88='Tabla Impacto'!$C$14,P88:P88='Tabla Impacto'!$D$14),"Mayor",IF(OR(P88='Tabla Impacto'!$C$15,P88='Tabla Impacto'!$D$15),"Catastrófico","")))))</f>
        <v>Mayor</v>
      </c>
      <c r="R88" s="193">
        <f>IF(Q88="","",IF(Q88="Leve",0.2,IF(Q88="Menor",0.4,IF(Q88="Moderado",0.6,IF(Q88="Mayor",0.8,IF(Q88="Catastrófico",1,))))))</f>
        <v>0.8</v>
      </c>
      <c r="S88" s="245" t="str">
        <f>IF(OR(AND(M88="Muy Baja",Q88="Leve"),AND(M88="Muy Baja",Q88="Menor"),AND(M88="Baja",Q88="Leve")),"Bajo",IF(OR(AND(M88="Muy baja",Q88="Moderado"),AND(M88="Baja",Q88="Menor"),AND(M88="Baja",Q88="Moderado"),AND(M88="Media",Q88="Leve"),AND(M88="Media",Q88="Menor"),AND(M88="Media",Q88="Moderado"),AND(M88="Alta",Q88="Leve"),AND(M88="Alta",Q88="Menor")),"Moderado",IF(OR(AND(M88="Muy Baja",Q88="Mayor"),AND(M88="Baja",Q88="Mayor"),AND(M88="Media",Q88="Mayor"),AND(M88="Alta",Q88="Moderado"),AND(M88="Alta",Q88="Mayor"),AND(M88="Muy Alta",Q88="Leve"),AND(M88="Muy Alta",Q88="Menor"),AND(M88="Muy Alta",Q88="Moderado"),AND(M88="Muy Alta",Q88="Mayor")),"Alto",IF(OR(AND(M88="Muy Baja",Q88="Catastrófico"),AND(M88="Baja",Q88="Catastrófico"),AND(M88="Media",Q88="Catastrófico"),AND(M88="Alta",Q88="Catastrófico"),AND(M88="Muy Alta",Q88="Catastrófico")),"Extremo",""))))</f>
        <v>Alto</v>
      </c>
      <c r="T88" s="143">
        <v>1</v>
      </c>
      <c r="U88" s="140" t="s">
        <v>499</v>
      </c>
      <c r="V88" s="289" t="str">
        <f t="shared" si="109"/>
        <v>Probabilidad</v>
      </c>
      <c r="W88" s="168" t="s">
        <v>12</v>
      </c>
      <c r="X88" s="168" t="s">
        <v>7</v>
      </c>
      <c r="Y88" s="150" t="str">
        <f>IF(AND(W88="Preventivo",X88="Automático"),"50%",IF(AND(W88="Preventivo",X88="Manual"),"40%",IF(AND(W88="Detectivo",X88="Automático"),"40%",IF(AND(W88="Detectivo",X88="Manual"),"30%",IF(AND(W88="Correctivo",X88="Automático"),"35%",IF(AND(W88="Correctivo",X88="Manual"),"25%",""))))))</f>
        <v>40%</v>
      </c>
      <c r="Z88" s="169" t="s">
        <v>18</v>
      </c>
      <c r="AA88" s="170" t="s">
        <v>20</v>
      </c>
      <c r="AB88" s="171" t="s">
        <v>114</v>
      </c>
      <c r="AC88" s="145" t="s">
        <v>500</v>
      </c>
      <c r="AD88" s="164">
        <f>IFERROR(IF(V88="Probabilidad",(N88-(+N88*Y88)),IF(V88="Impacto",N88,"")),"")</f>
        <v>0.6</v>
      </c>
      <c r="AE88" s="165" t="str">
        <f>IFERROR(IF(AD88="","",IF(AD88&lt;=0.2,"Muy Baja",IF(AD88&lt;=0.4,"Baja",IF(AD88&lt;=0.6,"Media",IF(AD88&lt;=0.8,"Alta","Muy Alta"))))),"")</f>
        <v>Media</v>
      </c>
      <c r="AF88" s="148">
        <f>+AD88</f>
        <v>0.6</v>
      </c>
      <c r="AG88" s="166" t="str">
        <f>IFERROR(IF(AH88="","",IF(AH88&lt;=0.2,"Leve",IF(AH88&lt;=0.4,"Menor",IF(AH88&lt;=0.6,"Moderado",IF(AH88&lt;=0.8,"Mayor","Catastrófico"))))),"")</f>
        <v>Mayor</v>
      </c>
      <c r="AH88" s="148">
        <f>IFERROR(IF(V88="Impacto",(R88-(+R88*Y88)),IF(V88="Probabilidad",R88,"")),"")</f>
        <v>0.8</v>
      </c>
      <c r="AI88" s="167" t="str">
        <f>IFERROR(IF(OR(AND(AE88="Muy Baja",AG88="Leve"),AND(AE88="Muy Baja",AG88="Menor"),AND(AE88="Baja",AG88="Leve")),"Bajo",IF(OR(AND(AE88="Muy baja",AG88="Moderado"),AND(AE88="Baja",AG88="Menor"),AND(AE88="Baja",AG88="Moderado"),AND(AE88="Media",AG88="Leve"),AND(AE88="Media",AG88="Menor"),AND(AE88="Media",AG88="Moderado"),AND(AE88="Alta",AG88="Leve"),AND(AE88="Alta",AG88="Menor")),"Moderado",IF(OR(AND(AE88="Muy Baja",AG88="Mayor"),AND(AE88="Baja",AG88="Mayor"),AND(AE88="Media",AG88="Mayor"),AND(AE88="Alta",AG88="Moderado"),AND(AE88="Alta",AG88="Mayor"),AND(AE88="Muy Alta",AG88="Leve"),AND(AE88="Muy Alta",AG88="Menor"),AND(AE88="Muy Alta",AG88="Moderado"),AND(AE88="Muy Alta",AG88="Mayor")),"Alto",IF(OR(AND(AE88="Muy Baja",AG88="Catastrófico"),AND(AE88="Baja",AG88="Catastrófico"),AND(AE88="Media",AG88="Catastrófico"),AND(AE88="Alta",AG88="Catastrófico"),AND(AE88="Muy Alta",AG88="Catastrófico")),"Extremo","")))),"")</f>
        <v>Alto</v>
      </c>
      <c r="AJ88" s="167" t="str">
        <f>$AI$88</f>
        <v>Alto</v>
      </c>
      <c r="AK88" s="147" t="s">
        <v>129</v>
      </c>
      <c r="AL88" s="136" t="s">
        <v>501</v>
      </c>
      <c r="AM88" s="136" t="s">
        <v>502</v>
      </c>
      <c r="AN88" s="239" t="s">
        <v>627</v>
      </c>
      <c r="AO88" s="243" t="s">
        <v>407</v>
      </c>
      <c r="AP88" s="136" t="s">
        <v>503</v>
      </c>
      <c r="AQ88" s="142" t="s">
        <v>38</v>
      </c>
    </row>
    <row r="89" spans="2:43" ht="101.25" customHeight="1" x14ac:dyDescent="0.2">
      <c r="B89" s="393" t="s">
        <v>506</v>
      </c>
      <c r="C89" s="414" t="s">
        <v>506</v>
      </c>
      <c r="D89" s="143">
        <v>62</v>
      </c>
      <c r="E89" s="212" t="s">
        <v>504</v>
      </c>
      <c r="F89" s="140" t="s">
        <v>507</v>
      </c>
      <c r="G89" s="202" t="s">
        <v>616</v>
      </c>
      <c r="H89" s="220" t="s">
        <v>563</v>
      </c>
      <c r="I89" s="220" t="s">
        <v>565</v>
      </c>
      <c r="J89" s="140" t="s">
        <v>118</v>
      </c>
      <c r="K89" s="220" t="s">
        <v>624</v>
      </c>
      <c r="L89" s="142">
        <v>48</v>
      </c>
      <c r="M89" s="192" t="str">
        <f>IF(L89&lt;=0,"",IF(L89&lt;=2,"Muy Baja",IF(L89&lt;=24,"Baja",IF(L89&lt;=500,"Media",IF(L89&lt;=5000,"Alta","Muy Alta")))))</f>
        <v>Media</v>
      </c>
      <c r="N89" s="193">
        <f>IF(M89="","",IF(M89="Muy Baja",0.2,IF(M89="Baja",0.4,IF(M89="Media",0.6,IF(M89="Alta",0.8,IF(M89="Muy Alta",1,))))))</f>
        <v>0.6</v>
      </c>
      <c r="O89" s="194" t="s">
        <v>145</v>
      </c>
      <c r="P89" s="193" t="s">
        <v>145</v>
      </c>
      <c r="Q89" s="192" t="str">
        <f>IF(OR(P89='Tabla Impacto'!$C$11,P89='Tabla Impacto'!$D$11),"Leve",IF(OR(P89='Tabla Impacto'!$C$12,P89='Tabla Impacto'!$D$12),"Menor",IF(OR(P89='Tabla Impacto'!$C$13,P89='Tabla Impacto'!$D$13),"Moderado",IF(OR(P89='Tabla Impacto'!$C$14,P89:P89='Tabla Impacto'!$D$14),"Mayor",IF(OR(P89='Tabla Impacto'!$C$15,P89='Tabla Impacto'!$D$15),"Catastrófico","")))))</f>
        <v>Moderado</v>
      </c>
      <c r="R89" s="193">
        <f>IF(Q89="","",IF(Q89="Leve",0.2,IF(Q89="Menor",0.4,IF(Q89="Moderado",0.6,IF(Q89="Mayor",0.8,IF(Q89="Catastrófico",1,))))))</f>
        <v>0.6</v>
      </c>
      <c r="S89" s="245" t="str">
        <f>IF(OR(AND(M89="Muy Baja",Q89="Leve"),AND(M89="Muy Baja",Q89="Menor"),AND(M89="Baja",Q89="Leve")),"Bajo",IF(OR(AND(M89="Muy baja",Q89="Moderado"),AND(M89="Baja",Q89="Menor"),AND(M89="Baja",Q89="Moderado"),AND(M89="Media",Q89="Leve"),AND(M89="Media",Q89="Menor"),AND(M89="Media",Q89="Moderado"),AND(M89="Alta",Q89="Leve"),AND(M89="Alta",Q89="Menor")),"Moderado",IF(OR(AND(M89="Muy Baja",Q89="Mayor"),AND(M89="Baja",Q89="Mayor"),AND(M89="Media",Q89="Mayor"),AND(M89="Alta",Q89="Moderado"),AND(M89="Alta",Q89="Mayor"),AND(M89="Muy Alta",Q89="Leve"),AND(M89="Muy Alta",Q89="Menor"),AND(M89="Muy Alta",Q89="Moderado"),AND(M89="Muy Alta",Q89="Mayor")),"Alto",IF(OR(AND(M89="Muy Baja",Q89="Catastrófico"),AND(M89="Baja",Q89="Catastrófico"),AND(M89="Media",Q89="Catastrófico"),AND(M89="Alta",Q89="Catastrófico"),AND(M89="Muy Alta",Q89="Catastrófico")),"Extremo",""))))</f>
        <v>Moderado</v>
      </c>
      <c r="T89" s="143">
        <v>1</v>
      </c>
      <c r="U89" s="154" t="s">
        <v>755</v>
      </c>
      <c r="V89" s="289" t="str">
        <f t="shared" si="109"/>
        <v>Probabilidad</v>
      </c>
      <c r="W89" s="147" t="s">
        <v>12</v>
      </c>
      <c r="X89" s="147" t="s">
        <v>7</v>
      </c>
      <c r="Y89" s="148" t="str">
        <f>IF(AND(W89="Preventivo",X89="Automático"),"50%",IF(AND(W89="Preventivo",X89="Manual"),"40%",IF(AND(W89="Detectivo",X89="Automático"),"40%",IF(AND(W89="Detectivo",X89="Manual"),"30%",IF(AND(W89="Correctivo",X89="Automático"),"35%",IF(AND(W89="Correctivo",X89="Manual"),"25%",""))))))</f>
        <v>40%</v>
      </c>
      <c r="Z89" s="161" t="s">
        <v>17</v>
      </c>
      <c r="AA89" s="162" t="s">
        <v>20</v>
      </c>
      <c r="AB89" s="163" t="s">
        <v>114</v>
      </c>
      <c r="AC89" s="145" t="s">
        <v>509</v>
      </c>
      <c r="AD89" s="164">
        <f>IFERROR(IF(V89="Probabilidad",(N89-(+N89*Y89)),IF(V89="Impacto",N89,"")),"")</f>
        <v>0.36</v>
      </c>
      <c r="AE89" s="165" t="str">
        <f>IFERROR(IF(AD89="","",IF(AD89&lt;=0.2,"Muy Baja",IF(AD89&lt;=0.4,"Baja",IF(AD89&lt;=0.6,"Media",IF(AD89&lt;=0.8,"Alta","Muy Alta"))))),"")</f>
        <v>Baja</v>
      </c>
      <c r="AF89" s="148">
        <f>+AD89</f>
        <v>0.36</v>
      </c>
      <c r="AG89" s="166" t="str">
        <f>IFERROR(IF(AH89="","",IF(AH89&lt;=0.2,"Leve",IF(AH89&lt;=0.4,"Menor",IF(AH89&lt;=0.6,"Moderado",IF(AH89&lt;=0.8,"Mayor","Catastrófico"))))),"")</f>
        <v>Moderado</v>
      </c>
      <c r="AH89" s="148">
        <f>IFERROR(IF(V89="Impacto",(R89-(+R89*Y89)),IF(V89="Probabilidad",R89,"")),"")</f>
        <v>0.6</v>
      </c>
      <c r="AI89" s="167" t="str">
        <f>IFERROR(IF(OR(AND(AE89="Muy Baja",AG89="Leve"),AND(AE89="Muy Baja",AG89="Menor"),AND(AE89="Baja",AG89="Leve")),"Bajo",IF(OR(AND(AE89="Muy baja",AG89="Moderado"),AND(AE89="Baja",AG89="Menor"),AND(AE89="Baja",AG89="Moderado"),AND(AE89="Media",AG89="Leve"),AND(AE89="Media",AG89="Menor"),AND(AE89="Media",AG89="Moderado"),AND(AE89="Alta",AG89="Leve"),AND(AE89="Alta",AG89="Menor")),"Moderado",IF(OR(AND(AE89="Muy Baja",AG89="Mayor"),AND(AE89="Baja",AG89="Mayor"),AND(AE89="Media",AG89="Mayor"),AND(AE89="Alta",AG89="Moderado"),AND(AE89="Alta",AG89="Mayor"),AND(AE89="Muy Alta",AG89="Leve"),AND(AE89="Muy Alta",AG89="Menor"),AND(AE89="Muy Alta",AG89="Moderado"),AND(AE89="Muy Alta",AG89="Mayor")),"Alto",IF(OR(AND(AE89="Muy Baja",AG89="Catastrófico"),AND(AE89="Baja",AG89="Catastrófico"),AND(AE89="Media",AG89="Catastrófico"),AND(AE89="Alta",AG89="Catastrófico"),AND(AE89="Muy Alta",AG89="Catastrófico")),"Extremo","")))),"")</f>
        <v>Moderado</v>
      </c>
      <c r="AJ89" s="167" t="str">
        <f>$AI$89</f>
        <v>Moderado</v>
      </c>
      <c r="AK89" s="147" t="s">
        <v>30</v>
      </c>
      <c r="AL89" s="144"/>
      <c r="AM89" s="144"/>
      <c r="AN89" s="238"/>
      <c r="AO89" s="242"/>
      <c r="AP89" s="144"/>
      <c r="AQ89" s="183"/>
    </row>
    <row r="90" spans="2:43" ht="93" customHeight="1" x14ac:dyDescent="0.2">
      <c r="B90" s="393"/>
      <c r="C90" s="414"/>
      <c r="D90" s="143">
        <v>63</v>
      </c>
      <c r="E90" s="212" t="s">
        <v>505</v>
      </c>
      <c r="F90" s="140" t="s">
        <v>508</v>
      </c>
      <c r="G90" s="202" t="s">
        <v>617</v>
      </c>
      <c r="H90" s="220" t="s">
        <v>563</v>
      </c>
      <c r="I90" s="220" t="s">
        <v>565</v>
      </c>
      <c r="J90" s="140" t="s">
        <v>118</v>
      </c>
      <c r="K90" s="220" t="s">
        <v>624</v>
      </c>
      <c r="L90" s="142">
        <v>52</v>
      </c>
      <c r="M90" s="192" t="str">
        <f>IF(L90&lt;=0,"",IF(L90&lt;=2,"Muy Baja",IF(L90&lt;=24,"Baja",IF(L90&lt;=500,"Media",IF(L90&lt;=5000,"Alta","Muy Alta")))))</f>
        <v>Media</v>
      </c>
      <c r="N90" s="193">
        <f>IF(M90="","",IF(M90="Muy Baja",0.2,IF(M90="Baja",0.4,IF(M90="Media",0.6,IF(M90="Alta",0.8,IF(M90="Muy Alta",1,))))))</f>
        <v>0.6</v>
      </c>
      <c r="O90" s="194" t="s">
        <v>145</v>
      </c>
      <c r="P90" s="193" t="s">
        <v>145</v>
      </c>
      <c r="Q90" s="192" t="s">
        <v>76</v>
      </c>
      <c r="R90" s="193">
        <f>IF(Q90="","",IF(Q90="Leve",0.2,IF(Q90="Menor",0.4,IF(Q90="Moderado",0.6,IF(Q90="Mayor",0.8,IF(Q90="Catastrófico",1,))))))</f>
        <v>0.6</v>
      </c>
      <c r="S90" s="245" t="str">
        <f>IF(OR(AND(M90="Muy Baja",Q90="Leve"),AND(M90="Muy Baja",Q90="Menor"),AND(M90="Baja",Q90="Leve")),"Bajo",IF(OR(AND(M90="Muy baja",Q90="Moderado"),AND(M90="Baja",Q90="Menor"),AND(M90="Baja",Q90="Moderado"),AND(M90="Media",Q90="Leve"),AND(M90="Media",Q90="Menor"),AND(M90="Media",Q90="Moderado"),AND(M90="Alta",Q90="Leve"),AND(M90="Alta",Q90="Menor")),"Moderado",IF(OR(AND(M90="Muy Baja",Q90="Mayor"),AND(M90="Baja",Q90="Mayor"),AND(M90="Media",Q90="Mayor"),AND(M90="Alta",Q90="Moderado"),AND(M90="Alta",Q90="Mayor"),AND(M90="Muy Alta",Q90="Leve"),AND(M90="Muy Alta",Q90="Menor"),AND(M90="Muy Alta",Q90="Moderado"),AND(M90="Muy Alta",Q90="Mayor")),"Alto",IF(OR(AND(M90="Muy Baja",Q90="Catastrófico"),AND(M90="Baja",Q90="Catastrófico"),AND(M90="Media",Q90="Catastrófico"),AND(M90="Alta",Q90="Catastrófico"),AND(M90="Muy Alta",Q90="Catastrófico")),"Extremo",""))))</f>
        <v>Moderado</v>
      </c>
      <c r="T90" s="143">
        <v>1</v>
      </c>
      <c r="U90" s="140" t="s">
        <v>757</v>
      </c>
      <c r="V90" s="178" t="str">
        <f t="shared" si="109"/>
        <v>Probabilidad</v>
      </c>
      <c r="W90" s="168" t="s">
        <v>12</v>
      </c>
      <c r="X90" s="168" t="s">
        <v>7</v>
      </c>
      <c r="Y90" s="150" t="str">
        <f>IF(AND(W90="Preventivo",X90="Automático"),"50%",IF(AND(W90="Preventivo",X90="Manual"),"40%",IF(AND(W90="Detectivo",X90="Automático"),"40%",IF(AND(W90="Detectivo",X90="Manual"),"30%",IF(AND(W90="Correctivo",X90="Automático"),"35%",IF(AND(W90="Correctivo",X90="Manual"),"25%",""))))))</f>
        <v>40%</v>
      </c>
      <c r="Z90" s="169" t="s">
        <v>17</v>
      </c>
      <c r="AA90" s="170" t="s">
        <v>20</v>
      </c>
      <c r="AB90" s="171" t="s">
        <v>114</v>
      </c>
      <c r="AC90" s="145" t="s">
        <v>510</v>
      </c>
      <c r="AD90" s="164">
        <f>IFERROR(IF(V90="Probabilidad",(N90-(+N90*Y90)),IF(V90="Impacto",N90,"")),"")</f>
        <v>0.36</v>
      </c>
      <c r="AE90" s="151" t="str">
        <f>IFERROR(IF(AD90="","",IF(AD90&lt;=0.2,"Muy Baja",IF(AD90&lt;=0.4,"Baja",IF(AD90&lt;=0.6,"Media",IF(AD90&lt;=0.8,"Alta","Muy Alta"))))),"")</f>
        <v>Baja</v>
      </c>
      <c r="AF90" s="81">
        <f>+AD90</f>
        <v>0.36</v>
      </c>
      <c r="AG90" s="82" t="str">
        <f>IFERROR(IF(AH90="","",IF(AH90&lt;=0.2,"Leve",IF(AH90&lt;=0.4,"Menor",IF(AH90&lt;=0.6,"Moderado",IF(AH90&lt;=0.8,"Mayor","Catastrófico"))))),"")</f>
        <v>Moderado</v>
      </c>
      <c r="AH90" s="81">
        <f>IFERROR(IF(V90="Impacto",(R90-(+R90*Y90)),IF(V90="Probabilidad",R90,"")),"")</f>
        <v>0.6</v>
      </c>
      <c r="AI90" s="83" t="str">
        <f>IFERROR(IF(OR(AND(AE90="Muy Baja",AG90="Leve"),AND(AE90="Muy Baja",AG90="Menor"),AND(AE90="Baja",AG90="Leve")),"Bajo",IF(OR(AND(AE90="Muy baja",AG90="Moderado"),AND(AE90="Baja",AG90="Menor"),AND(AE90="Baja",AG90="Moderado"),AND(AE90="Media",AG90="Leve"),AND(AE90="Media",AG90="Menor"),AND(AE90="Media",AG90="Moderado"),AND(AE90="Alta",AG90="Leve"),AND(AE90="Alta",AG90="Menor")),"Moderado",IF(OR(AND(AE90="Muy Baja",AG90="Mayor"),AND(AE90="Baja",AG90="Mayor"),AND(AE90="Media",AG90="Mayor"),AND(AE90="Alta",AG90="Moderado"),AND(AE90="Alta",AG90="Mayor"),AND(AE90="Muy Alta",AG90="Leve"),AND(AE90="Muy Alta",AG90="Menor"),AND(AE90="Muy Alta",AG90="Moderado"),AND(AE90="Muy Alta",AG90="Mayor")),"Alto",IF(OR(AND(AE90="Muy Baja",AG90="Catastrófico"),AND(AE90="Baja",AG90="Catastrófico"),AND(AE90="Media",AG90="Catastrófico"),AND(AE90="Alta",AG90="Catastrófico"),AND(AE90="Muy Alta",AG90="Catastrófico")),"Extremo","")))),"")</f>
        <v>Moderado</v>
      </c>
      <c r="AJ90" s="244" t="str">
        <f>$AI$90</f>
        <v>Moderado</v>
      </c>
      <c r="AK90" s="234" t="s">
        <v>30</v>
      </c>
      <c r="AL90" s="254"/>
      <c r="AM90" s="254"/>
      <c r="AN90" s="301"/>
      <c r="AO90" s="301"/>
      <c r="AP90" s="254"/>
      <c r="AQ90" s="255"/>
    </row>
    <row r="91" spans="2:43" ht="83.25" customHeight="1" x14ac:dyDescent="0.2">
      <c r="B91" s="393" t="s">
        <v>516</v>
      </c>
      <c r="C91" s="213" t="s">
        <v>515</v>
      </c>
      <c r="D91" s="143">
        <v>64</v>
      </c>
      <c r="E91" s="212" t="s">
        <v>504</v>
      </c>
      <c r="F91" s="140" t="s">
        <v>507</v>
      </c>
      <c r="G91" s="136" t="s">
        <v>618</v>
      </c>
      <c r="H91" s="143" t="s">
        <v>563</v>
      </c>
      <c r="I91" s="143" t="s">
        <v>565</v>
      </c>
      <c r="J91" s="140" t="s">
        <v>118</v>
      </c>
      <c r="K91" s="143" t="s">
        <v>624</v>
      </c>
      <c r="L91" s="255">
        <v>452</v>
      </c>
      <c r="M91" s="215" t="str">
        <f>IF(L91&lt;=0,"",IF(L91&lt;=2,"Muy Baja",IF(L91&lt;=24,"Baja",IF(L91&lt;=500,"Media",IF(L91&lt;=5000,"Alta","Muy Alta")))))</f>
        <v>Media</v>
      </c>
      <c r="N91" s="218">
        <f>IF(M91="","",IF(M91="Muy Baja",0.2,IF(M91="Baja",0.4,IF(M91="Media",0.6,IF(M91="Alta",0.8,IF(M91="Muy Alta",1,))))))</f>
        <v>0.6</v>
      </c>
      <c r="O91" s="250" t="s">
        <v>146</v>
      </c>
      <c r="P91" s="310" t="s">
        <v>146</v>
      </c>
      <c r="Q91" s="188" t="s">
        <v>76</v>
      </c>
      <c r="R91" s="189">
        <f>IF(Q91="","",IF(Q91="Leve",0.2,IF(Q91="Menor",0.4,IF(Q91="Moderado",0.6,IF(Q91="Mayor",0.8,IF(Q91="Catastrófico",1,))))))</f>
        <v>0.6</v>
      </c>
      <c r="S91" s="247" t="str">
        <f>IF(OR(AND(M91="Muy Baja",Q91="Leve"),AND(M91="Muy Baja",Q91="Menor"),AND(M91="Baja",Q91="Leve")),"Bajo",IF(OR(AND(M91="Muy baja",Q91="Moderado"),AND(M91="Baja",Q91="Menor"),AND(M91="Baja",Q91="Moderado"),AND(M91="Media",Q91="Leve"),AND(M91="Media",Q91="Menor"),AND(M91="Media",Q91="Moderado"),AND(M91="Alta",Q91="Leve"),AND(M91="Alta",Q91="Menor")),"Moderado",IF(OR(AND(M91="Muy Baja",Q91="Mayor"),AND(M91="Baja",Q91="Mayor"),AND(M91="Media",Q91="Mayor"),AND(M91="Alta",Q91="Moderado"),AND(M91="Alta",Q91="Mayor"),AND(M91="Muy Alta",Q91="Leve"),AND(M91="Muy Alta",Q91="Menor"),AND(M91="Muy Alta",Q91="Moderado"),AND(M91="Muy Alta",Q91="Mayor")),"Alto",IF(OR(AND(M91="Muy Baja",Q91="Catastrófico"),AND(M91="Baja",Q91="Catastrófico"),AND(M91="Media",Q91="Catastrófico"),AND(M91="Alta",Q91="Catastrófico"),AND(M91="Muy Alta",Q91="Catastrófico")),"Extremo",""))))</f>
        <v>Moderado</v>
      </c>
      <c r="T91" s="141">
        <v>1</v>
      </c>
      <c r="U91" s="154" t="s">
        <v>755</v>
      </c>
      <c r="V91" s="146" t="str">
        <f t="shared" si="109"/>
        <v>Probabilidad</v>
      </c>
      <c r="W91" s="147" t="s">
        <v>12</v>
      </c>
      <c r="X91" s="147" t="s">
        <v>7</v>
      </c>
      <c r="Y91" s="148" t="str">
        <f>IF(AND(W91="Preventivo",X91="Automático"),"50%",IF(AND(W91="Preventivo",X91="Manual"),"40%",IF(AND(W91="Detectivo",X91="Automático"),"40%",IF(AND(W91="Detectivo",X91="Manual"),"30%",IF(AND(W91="Correctivo",X91="Automático"),"35%",IF(AND(W91="Correctivo",X91="Manual"),"25%",""))))))</f>
        <v>40%</v>
      </c>
      <c r="Z91" s="161" t="s">
        <v>17</v>
      </c>
      <c r="AA91" s="162" t="s">
        <v>20</v>
      </c>
      <c r="AB91" s="163" t="s">
        <v>114</v>
      </c>
      <c r="AC91" s="145" t="s">
        <v>509</v>
      </c>
      <c r="AD91" s="164">
        <f>IFERROR(IF(V91="Probabilidad",(N91-(+N91*Y91)),IF(V91="Impacto",N91,"")),"")</f>
        <v>0.36</v>
      </c>
      <c r="AE91" s="165" t="str">
        <f>IFERROR(IF(AD91="","",IF(AD91&lt;=0.2,"Muy Baja",IF(AD91&lt;=0.4,"Baja",IF(AD91&lt;=0.6,"Media",IF(AD91&lt;=0.8,"Alta","Muy Alta"))))),"")</f>
        <v>Baja</v>
      </c>
      <c r="AF91" s="148">
        <f>+AD91</f>
        <v>0.36</v>
      </c>
      <c r="AG91" s="166" t="str">
        <f>IFERROR(IF(AH91="","",IF(AH91&lt;=0.2,"Leve",IF(AH91&lt;=0.4,"Menor",IF(AH91&lt;=0.6,"Moderado",IF(AH91&lt;=0.8,"Mayor","Catastrófico"))))),"")</f>
        <v>Moderado</v>
      </c>
      <c r="AH91" s="148">
        <f>IFERROR(IF(V91="Impacto",(R91-(+R91*Y91)),IF(V91="Probabilidad",R91,"")),"")</f>
        <v>0.6</v>
      </c>
      <c r="AI91" s="167" t="str">
        <f>IFERROR(IF(OR(AND(AE91="Muy Baja",AG91="Leve"),AND(AE91="Muy Baja",AG91="Menor"),AND(AE91="Baja",AG91="Leve")),"Bajo",IF(OR(AND(AE91="Muy baja",AG91="Moderado"),AND(AE91="Baja",AG91="Menor"),AND(AE91="Baja",AG91="Moderado"),AND(AE91="Media",AG91="Leve"),AND(AE91="Media",AG91="Menor"),AND(AE91="Media",AG91="Moderado"),AND(AE91="Alta",AG91="Leve"),AND(AE91="Alta",AG91="Menor")),"Moderado",IF(OR(AND(AE91="Muy Baja",AG91="Mayor"),AND(AE91="Baja",AG91="Mayor"),AND(AE91="Media",AG91="Mayor"),AND(AE91="Alta",AG91="Moderado"),AND(AE91="Alta",AG91="Mayor"),AND(AE91="Muy Alta",AG91="Leve"),AND(AE91="Muy Alta",AG91="Menor"),AND(AE91="Muy Alta",AG91="Moderado"),AND(AE91="Muy Alta",AG91="Mayor")),"Alto",IF(OR(AND(AE91="Muy Baja",AG91="Catastrófico"),AND(AE91="Baja",AG91="Catastrófico"),AND(AE91="Media",AG91="Catastrófico"),AND(AE91="Alta",AG91="Catastrófico"),AND(AE91="Muy Alta",AG91="Catastrófico")),"Extremo","")))),"")</f>
        <v>Moderado</v>
      </c>
      <c r="AJ91" s="167" t="str">
        <f>$AI$91</f>
        <v>Moderado</v>
      </c>
      <c r="AK91" s="147" t="s">
        <v>30</v>
      </c>
      <c r="AL91" s="158"/>
      <c r="AM91" s="158"/>
      <c r="AN91" s="158"/>
      <c r="AO91" s="158"/>
      <c r="AP91" s="158"/>
      <c r="AQ91" s="158"/>
    </row>
    <row r="92" spans="2:43" ht="63.75" customHeight="1" x14ac:dyDescent="0.2">
      <c r="B92" s="393"/>
      <c r="C92" s="329" t="s">
        <v>515</v>
      </c>
      <c r="D92" s="393">
        <v>65</v>
      </c>
      <c r="E92" s="385" t="s">
        <v>514</v>
      </c>
      <c r="F92" s="387" t="s">
        <v>508</v>
      </c>
      <c r="G92" s="389" t="s">
        <v>619</v>
      </c>
      <c r="H92" s="391" t="s">
        <v>563</v>
      </c>
      <c r="I92" s="391" t="s">
        <v>565</v>
      </c>
      <c r="J92" s="387" t="s">
        <v>118</v>
      </c>
      <c r="K92" s="391" t="s">
        <v>624</v>
      </c>
      <c r="L92" s="394">
        <v>57</v>
      </c>
      <c r="M92" s="395" t="str">
        <f>IF(L92&lt;=0,"",IF(L92&lt;=2,"Muy Baja",IF(L92&lt;=24,"Baja",IF(L92&lt;=500,"Media",IF(L92&lt;=5000,"Alta","Muy Alta")))))</f>
        <v>Media</v>
      </c>
      <c r="N92" s="405">
        <f>IF(M92="","",IF(M92="Muy Baja",0.2,IF(M92="Baja",0.4,IF(M92="Media",0.6,IF(M92="Alta",0.8,IF(M92="Muy Alta",1,))))))</f>
        <v>0.6</v>
      </c>
      <c r="O92" s="406" t="s">
        <v>146</v>
      </c>
      <c r="P92" s="405" t="s">
        <v>146</v>
      </c>
      <c r="Q92" s="395" t="s">
        <v>76</v>
      </c>
      <c r="R92" s="405">
        <f>IF(Q92="","",IF(Q92="Leve",0.2,IF(Q92="Menor",0.4,IF(Q92="Moderado",0.6,IF(Q92="Mayor",0.8,IF(Q92="Catastrófico",1,))))))</f>
        <v>0.6</v>
      </c>
      <c r="S92" s="421" t="str">
        <f>IF(OR(AND(M92="Muy Baja",Q92="Leve"),AND(M92="Muy Baja",Q92="Menor"),AND(M92="Baja",Q92="Leve")),"Bajo",IF(OR(AND(M92="Muy baja",Q92="Moderado"),AND(M92="Baja",Q92="Menor"),AND(M92="Baja",Q92="Moderado"),AND(M92="Media",Q92="Leve"),AND(M92="Media",Q92="Menor"),AND(M92="Media",Q92="Moderado"),AND(M92="Alta",Q92="Leve"),AND(M92="Alta",Q92="Menor")),"Moderado",IF(OR(AND(M92="Muy Baja",Q92="Mayor"),AND(M92="Baja",Q92="Mayor"),AND(M92="Media",Q92="Mayor"),AND(M92="Alta",Q92="Moderado"),AND(M92="Alta",Q92="Mayor"),AND(M92="Muy Alta",Q92="Leve"),AND(M92="Muy Alta",Q92="Menor"),AND(M92="Muy Alta",Q92="Moderado"),AND(M92="Muy Alta",Q92="Mayor")),"Alto",IF(OR(AND(M92="Muy Baja",Q92="Catastrófico"),AND(M92="Baja",Q92="Catastrófico"),AND(M92="Media",Q92="Catastrófico"),AND(M92="Alta",Q92="Catastrófico"),AND(M92="Muy Alta",Q92="Catastrófico")),"Extremo",""))))</f>
        <v>Moderado</v>
      </c>
      <c r="T92" s="143">
        <v>2</v>
      </c>
      <c r="U92" s="140" t="s">
        <v>757</v>
      </c>
      <c r="V92" s="149" t="str">
        <f t="shared" si="109"/>
        <v>Probabilidad</v>
      </c>
      <c r="W92" s="168" t="s">
        <v>12</v>
      </c>
      <c r="X92" s="168" t="s">
        <v>7</v>
      </c>
      <c r="Y92" s="150" t="str">
        <f>IF(AND(W92="Preventivo",X92="Automático"),"50%",IF(AND(W92="Preventivo",X92="Manual"),"40%",IF(AND(W92="Detectivo",X92="Automático"),"40%",IF(AND(W92="Detectivo",X92="Manual"),"30%",IF(AND(W92="Correctivo",X92="Automático"),"35%",IF(AND(W92="Correctivo",X92="Manual"),"25%",""))))))</f>
        <v>40%</v>
      </c>
      <c r="Z92" s="169" t="s">
        <v>17</v>
      </c>
      <c r="AA92" s="170" t="s">
        <v>20</v>
      </c>
      <c r="AB92" s="171" t="s">
        <v>114</v>
      </c>
      <c r="AC92" s="145" t="s">
        <v>510</v>
      </c>
      <c r="AD92" s="164">
        <f>IFERROR(IF(V92="Probabilidad",(N92-(+N92*Y92)),IF(V92="Impacto",N92,"")),"")</f>
        <v>0.36</v>
      </c>
      <c r="AE92" s="151" t="str">
        <f>IFERROR(IF(AD92="","",IF(AD92&lt;=0.2,"Muy Baja",IF(AD92&lt;=0.4,"Baja",IF(AD92&lt;=0.6,"Media",IF(AD92&lt;=0.8,"Alta","Muy Alta"))))),"")</f>
        <v>Baja</v>
      </c>
      <c r="AF92" s="81">
        <f>+AD92</f>
        <v>0.36</v>
      </c>
      <c r="AG92" s="82" t="str">
        <f>IFERROR(IF(AH92="","",IF(AH92&lt;=0.2,"Leve",IF(AH92&lt;=0.4,"Menor",IF(AH92&lt;=0.6,"Moderado",IF(AH92&lt;=0.8,"Mayor","Catastrófico"))))),"")</f>
        <v>Moderado</v>
      </c>
      <c r="AH92" s="81">
        <f>IFERROR(IF(V92="Impacto",(R92-(+R92*Y92)),IF(V92="Probabilidad",R92,"")),"")</f>
        <v>0.6</v>
      </c>
      <c r="AI92" s="83" t="str">
        <f>IFERROR(IF(OR(AND(AE92="Muy Baja",AG92="Leve"),AND(AE92="Muy Baja",AG92="Menor"),AND(AE92="Baja",AG92="Leve")),"Bajo",IF(OR(AND(AE92="Muy baja",AG92="Moderado"),AND(AE92="Baja",AG92="Menor"),AND(AE92="Baja",AG92="Moderado"),AND(AE92="Media",AG92="Leve"),AND(AE92="Media",AG92="Menor"),AND(AE92="Media",AG92="Moderado"),AND(AE92="Alta",AG92="Leve"),AND(AE92="Alta",AG92="Menor")),"Moderado",IF(OR(AND(AE92="Muy Baja",AG92="Mayor"),AND(AE92="Baja",AG92="Mayor"),AND(AE92="Media",AG92="Mayor"),AND(AE92="Alta",AG92="Moderado"),AND(AE92="Alta",AG92="Mayor"),AND(AE92="Muy Alta",AG92="Leve"),AND(AE92="Muy Alta",AG92="Menor"),AND(AE92="Muy Alta",AG92="Moderado"),AND(AE92="Muy Alta",AG92="Mayor")),"Alto",IF(OR(AND(AE92="Muy Baja",AG92="Catastrófico"),AND(AE92="Baja",AG92="Catastrófico"),AND(AE92="Media",AG92="Catastrófico"),AND(AE92="Alta",AG92="Catastrófico"),AND(AE92="Muy Alta",AG92="Catastrófico")),"Extremo","")))),"")</f>
        <v>Moderado</v>
      </c>
      <c r="AJ92" s="413" t="str">
        <f>$AI$93</f>
        <v>Moderado</v>
      </c>
      <c r="AK92" s="401" t="s">
        <v>30</v>
      </c>
      <c r="AL92" s="158"/>
      <c r="AM92" s="158"/>
      <c r="AN92" s="158"/>
      <c r="AO92" s="158"/>
      <c r="AP92" s="158"/>
      <c r="AQ92" s="158"/>
    </row>
    <row r="93" spans="2:43" ht="102" x14ac:dyDescent="0.2">
      <c r="B93" s="393"/>
      <c r="C93" s="330"/>
      <c r="D93" s="393"/>
      <c r="E93" s="385"/>
      <c r="F93" s="387"/>
      <c r="G93" s="390"/>
      <c r="H93" s="392"/>
      <c r="I93" s="392"/>
      <c r="J93" s="387"/>
      <c r="K93" s="392"/>
      <c r="L93" s="394"/>
      <c r="M93" s="395"/>
      <c r="N93" s="405"/>
      <c r="O93" s="406"/>
      <c r="P93" s="405"/>
      <c r="Q93" s="395"/>
      <c r="R93" s="405"/>
      <c r="S93" s="422"/>
      <c r="T93" s="143">
        <v>1</v>
      </c>
      <c r="U93" s="140" t="s">
        <v>759</v>
      </c>
      <c r="V93" s="149" t="str">
        <f t="shared" si="109"/>
        <v>Probabilidad</v>
      </c>
      <c r="W93" s="168" t="s">
        <v>12</v>
      </c>
      <c r="X93" s="168" t="s">
        <v>7</v>
      </c>
      <c r="Y93" s="150" t="str">
        <f t="shared" ref="Y93" si="166">IF(AND(W93="Preventivo",X93="Automático"),"50%",IF(AND(W93="Preventivo",X93="Manual"),"40%",IF(AND(W93="Detectivo",X93="Automático"),"40%",IF(AND(W93="Detectivo",X93="Manual"),"30%",IF(AND(W93="Correctivo",X93="Automático"),"35%",IF(AND(W93="Correctivo",X93="Manual"),"25%",""))))))</f>
        <v>40%</v>
      </c>
      <c r="Z93" s="169" t="s">
        <v>17</v>
      </c>
      <c r="AA93" s="170" t="s">
        <v>20</v>
      </c>
      <c r="AB93" s="171" t="s">
        <v>114</v>
      </c>
      <c r="AC93" s="145" t="s">
        <v>511</v>
      </c>
      <c r="AD93" s="164">
        <f>IFERROR(IF(AND(V92="Probabilidad",V93="Probabilidad"),(AF92-(+AF92*Y93)),IF(V93="Probabilidad",(N92-(+N92*Y93)),IF(V93="Impacto",AF92,""))),"")</f>
        <v>0.216</v>
      </c>
      <c r="AE93" s="151" t="str">
        <f t="shared" ref="AE93" si="167">IFERROR(IF(AD93="","",IF(AD93&lt;=0.2,"Muy Baja",IF(AD93&lt;=0.4,"Baja",IF(AD93&lt;=0.6,"Media",IF(AD93&lt;=0.8,"Alta","Muy Alta"))))),"")</f>
        <v>Baja</v>
      </c>
      <c r="AF93" s="81">
        <f t="shared" ref="AF93" si="168">+AD93</f>
        <v>0.216</v>
      </c>
      <c r="AG93" s="82" t="str">
        <f t="shared" ref="AG93" si="169">IFERROR(IF(AH93="","",IF(AH93&lt;=0.2,"Leve",IF(AH93&lt;=0.4,"Menor",IF(AH93&lt;=0.6,"Moderado",IF(AH93&lt;=0.8,"Mayor","Catastrófico"))))),"")</f>
        <v>Moderado</v>
      </c>
      <c r="AH93" s="152">
        <f>IFERROR(IF(AND(V92="Impacto",V93="Impacto"),(AH91-(+AH91*Y93)),IF(V93="Impacto",($M$13-(+$M$13*Y93)),IF(V93="Probabilidad",AH91,""))),"")</f>
        <v>0.6</v>
      </c>
      <c r="AI93" s="83" t="str">
        <f t="shared" ref="AI93" si="170">IFERROR(IF(OR(AND(AE93="Muy Baja",AG93="Leve"),AND(AE93="Muy Baja",AG93="Menor"),AND(AE93="Baja",AG93="Leve")),"Bajo",IF(OR(AND(AE93="Muy baja",AG93="Moderado"),AND(AE93="Baja",AG93="Menor"),AND(AE93="Baja",AG93="Moderado"),AND(AE93="Media",AG93="Leve"),AND(AE93="Media",AG93="Menor"),AND(AE93="Media",AG93="Moderado"),AND(AE93="Alta",AG93="Leve"),AND(AE93="Alta",AG93="Menor")),"Moderado",IF(OR(AND(AE93="Muy Baja",AG93="Mayor"),AND(AE93="Baja",AG93="Mayor"),AND(AE93="Media",AG93="Mayor"),AND(AE93="Alta",AG93="Moderado"),AND(AE93="Alta",AG93="Mayor"),AND(AE93="Muy Alta",AG93="Leve"),AND(AE93="Muy Alta",AG93="Menor"),AND(AE93="Muy Alta",AG93="Moderado"),AND(AE93="Muy Alta",AG93="Mayor")),"Alto",IF(OR(AND(AE93="Muy Baja",AG93="Catastrófico"),AND(AE93="Baja",AG93="Catastrófico"),AND(AE93="Media",AG93="Catastrófico"),AND(AE93="Alta",AG93="Catastrófico"),AND(AE93="Muy Alta",AG93="Catastrófico")),"Extremo","")))),"")</f>
        <v>Moderado</v>
      </c>
      <c r="AJ93" s="413"/>
      <c r="AK93" s="402"/>
      <c r="AL93" s="158"/>
      <c r="AM93" s="158"/>
      <c r="AN93" s="158"/>
      <c r="AO93" s="158"/>
      <c r="AP93" s="158"/>
      <c r="AQ93" s="158"/>
    </row>
    <row r="94" spans="2:43" ht="153" x14ac:dyDescent="0.2">
      <c r="B94" s="389" t="s">
        <v>523</v>
      </c>
      <c r="C94" s="458" t="s">
        <v>523</v>
      </c>
      <c r="D94" s="143">
        <v>66</v>
      </c>
      <c r="E94" s="211" t="s">
        <v>517</v>
      </c>
      <c r="F94" s="203" t="s">
        <v>520</v>
      </c>
      <c r="G94" s="136" t="s">
        <v>620</v>
      </c>
      <c r="H94" s="143" t="s">
        <v>563</v>
      </c>
      <c r="I94" s="143" t="s">
        <v>565</v>
      </c>
      <c r="J94" s="205" t="s">
        <v>123</v>
      </c>
      <c r="K94" s="143" t="s">
        <v>624</v>
      </c>
      <c r="L94" s="142">
        <v>450</v>
      </c>
      <c r="M94" s="192" t="str">
        <f>IF(L94&lt;=0,"",IF(L94&lt;=2,"Muy Baja",IF(L94&lt;=24,"Baja",IF(L94&lt;=500,"Media",IF(L94&lt;=5000,"Alta","Muy Alta")))))</f>
        <v>Media</v>
      </c>
      <c r="N94" s="193">
        <f>IF(M94="","",IF(M94="Muy Baja",0.2,IF(M94="Baja",0.4,IF(M94="Media",0.6,IF(M94="Alta",0.8,IF(M94="Muy Alta",1,))))))</f>
        <v>0.6</v>
      </c>
      <c r="O94" s="194" t="s">
        <v>145</v>
      </c>
      <c r="P94" s="311" t="s">
        <v>145</v>
      </c>
      <c r="Q94" s="192" t="str">
        <f>IF(OR(P94='Tabla Impacto'!$C$11,P94='Tabla Impacto'!$D$11),"Leve",IF(OR(P94='Tabla Impacto'!$C$12,P94='Tabla Impacto'!$D$12),"Menor",IF(OR(P94='Tabla Impacto'!$C$13,P94='Tabla Impacto'!$D$13),"Moderado",IF(OR(P94='Tabla Impacto'!$C$14,P94:P94='Tabla Impacto'!$D$14),"Mayor",IF(OR(P94='Tabla Impacto'!$C$15,P94='Tabla Impacto'!$D$15),"Catastrófico","")))))</f>
        <v>Moderado</v>
      </c>
      <c r="R94" s="193">
        <f>IF(Q94="","",IF(Q94="Leve",0.2,IF(Q94="Menor",0.4,IF(Q94="Moderado",0.6,IF(Q94="Mayor",0.8,IF(Q94="Catastrófico",1,))))))</f>
        <v>0.6</v>
      </c>
      <c r="S94" s="252" t="str">
        <f>IF(OR(AND(M94="Muy Baja",Q94="Leve"),AND(M94="Muy Baja",Q94="Menor"),AND(M94="Baja",Q94="Leve")),"Bajo",IF(OR(AND(M94="Muy baja",Q94="Moderado"),AND(M94="Baja",Q94="Menor"),AND(M94="Baja",Q94="Moderado"),AND(M94="Media",Q94="Leve"),AND(M94="Media",Q94="Menor"),AND(M94="Media",Q94="Moderado"),AND(M94="Alta",Q94="Leve"),AND(M94="Alta",Q94="Menor")),"Moderado",IF(OR(AND(M94="Muy Baja",Q94="Mayor"),AND(M94="Baja",Q94="Mayor"),AND(M94="Media",Q94="Mayor"),AND(M94="Alta",Q94="Moderado"),AND(M94="Alta",Q94="Mayor"),AND(M94="Muy Alta",Q94="Leve"),AND(M94="Muy Alta",Q94="Menor"),AND(M94="Muy Alta",Q94="Moderado"),AND(M94="Muy Alta",Q94="Mayor")),"Alto",IF(OR(AND(M94="Muy Baja",Q94="Catastrófico"),AND(M94="Baja",Q94="Catastrófico"),AND(M94="Media",Q94="Catastrófico"),AND(M94="Alta",Q94="Catastrófico"),AND(M94="Muy Alta",Q94="Catastrófico")),"Extremo",""))))</f>
        <v>Moderado</v>
      </c>
      <c r="T94" s="141">
        <v>2</v>
      </c>
      <c r="U94" s="144" t="s">
        <v>524</v>
      </c>
      <c r="V94" s="146" t="str">
        <f t="shared" si="109"/>
        <v>Probabilidad</v>
      </c>
      <c r="W94" s="147" t="s">
        <v>12</v>
      </c>
      <c r="X94" s="147" t="s">
        <v>7</v>
      </c>
      <c r="Y94" s="148" t="str">
        <f>IF(AND(W94="Preventivo",X94="Automático"),"50%",IF(AND(W94="Preventivo",X94="Manual"),"40%",IF(AND(W94="Detectivo",X94="Automático"),"40%",IF(AND(W94="Detectivo",X94="Manual"),"30%",IF(AND(W94="Correctivo",X94="Automático"),"35%",IF(AND(W94="Correctivo",X94="Manual"),"25%",""))))))</f>
        <v>40%</v>
      </c>
      <c r="Z94" s="161" t="s">
        <v>17</v>
      </c>
      <c r="AA94" s="162" t="s">
        <v>20</v>
      </c>
      <c r="AB94" s="163" t="s">
        <v>114</v>
      </c>
      <c r="AC94" s="145" t="s">
        <v>525</v>
      </c>
      <c r="AD94" s="164">
        <f>IFERROR(IF(V94="Probabilidad",(N94-(+N94*Y94)),IF(V94="Impacto",N94,"")),"")</f>
        <v>0.36</v>
      </c>
      <c r="AE94" s="165" t="str">
        <f>IFERROR(IF(AD94="","",IF(AD94&lt;=0.2,"Muy Baja",IF(AD94&lt;=0.4,"Baja",IF(AD94&lt;=0.6,"Media",IF(AD94&lt;=0.8,"Alta","Muy Alta"))))),"")</f>
        <v>Baja</v>
      </c>
      <c r="AF94" s="148">
        <f>+AD94</f>
        <v>0.36</v>
      </c>
      <c r="AG94" s="166" t="str">
        <f t="shared" ref="AG94:AG104" si="171">IFERROR(IF(AH94="","",IF(AH94&lt;=0.2,"Leve",IF(AH94&lt;=0.4,"Menor",IF(AH94&lt;=0.6,"Moderado",IF(AH94&lt;=0.8,"Mayor","Catastrófico"))))),"")</f>
        <v>Moderado</v>
      </c>
      <c r="AH94" s="148">
        <f t="shared" ref="AH94:AH104" si="172">IFERROR(IF(V94="Impacto",(R94-(+R94*Y94)),IF(V94="Probabilidad",R94,"")),"")</f>
        <v>0.6</v>
      </c>
      <c r="AI94" s="167" t="str">
        <f t="shared" ref="AI94:AI104" si="173">IFERROR(IF(OR(AND(AE94="Muy Baja",AG94="Leve"),AND(AE94="Muy Baja",AG94="Menor"),AND(AE94="Baja",AG94="Leve")),"Bajo",IF(OR(AND(AE94="Muy baja",AG94="Moderado"),AND(AE94="Baja",AG94="Menor"),AND(AE94="Baja",AG94="Moderado"),AND(AE94="Media",AG94="Leve"),AND(AE94="Media",AG94="Menor"),AND(AE94="Media",AG94="Moderado"),AND(AE94="Alta",AG94="Leve"),AND(AE94="Alta",AG94="Menor")),"Moderado",IF(OR(AND(AE94="Muy Baja",AG94="Mayor"),AND(AE94="Baja",AG94="Mayor"),AND(AE94="Media",AG94="Mayor"),AND(AE94="Alta",AG94="Moderado"),AND(AE94="Alta",AG94="Mayor"),AND(AE94="Muy Alta",AG94="Leve"),AND(AE94="Muy Alta",AG94="Menor"),AND(AE94="Muy Alta",AG94="Moderado"),AND(AE94="Muy Alta",AG94="Mayor")),"Alto",IF(OR(AND(AE94="Muy Baja",AG94="Catastrófico"),AND(AE94="Baja",AG94="Catastrófico"),AND(AE94="Media",AG94="Catastrófico"),AND(AE94="Alta",AG94="Catastrófico"),AND(AE94="Muy Alta",AG94="Catastrófico")),"Extremo","")))),"")</f>
        <v>Moderado</v>
      </c>
      <c r="AJ94" s="207" t="str">
        <f>$AI$94</f>
        <v>Moderado</v>
      </c>
      <c r="AK94" s="234" t="s">
        <v>30</v>
      </c>
      <c r="AL94" s="158"/>
      <c r="AM94" s="158"/>
      <c r="AN94" s="158"/>
      <c r="AO94" s="158"/>
      <c r="AP94" s="158"/>
      <c r="AQ94" s="158"/>
    </row>
    <row r="95" spans="2:43" ht="258" customHeight="1" x14ac:dyDescent="0.2">
      <c r="B95" s="496"/>
      <c r="C95" s="556"/>
      <c r="D95" s="143">
        <v>67</v>
      </c>
      <c r="E95" s="339" t="s">
        <v>518</v>
      </c>
      <c r="F95" s="204" t="s">
        <v>521</v>
      </c>
      <c r="G95" s="136" t="s">
        <v>723</v>
      </c>
      <c r="H95" s="143" t="s">
        <v>563</v>
      </c>
      <c r="I95" s="143" t="s">
        <v>565</v>
      </c>
      <c r="J95" s="205" t="s">
        <v>123</v>
      </c>
      <c r="K95" s="143" t="s">
        <v>624</v>
      </c>
      <c r="L95" s="142">
        <v>250</v>
      </c>
      <c r="M95" s="192" t="str">
        <f>IF(L95&lt;=0,"",IF(L95&lt;=2,"Muy Baja",IF(L95&lt;=24,"Baja",IF(L95&lt;=500,"Media",IF(L95&lt;=5000,"Alta","Muy Alta")))))</f>
        <v>Media</v>
      </c>
      <c r="N95" s="193">
        <f>IF(M95="","",IF(M95="Muy Baja",0.2,IF(M95="Baja",0.4,IF(M95="Media",0.6,IF(M95="Alta",0.8,IF(M95="Muy Alta",1,))))))</f>
        <v>0.6</v>
      </c>
      <c r="O95" s="194" t="s">
        <v>145</v>
      </c>
      <c r="P95" s="311" t="s">
        <v>145</v>
      </c>
      <c r="Q95" s="192" t="str">
        <f>IF(OR(P95='Tabla Impacto'!$C$11,P95='Tabla Impacto'!$D$11),"Leve",IF(OR(P95='Tabla Impacto'!$C$12,P95='Tabla Impacto'!$D$12),"Menor",IF(OR(P95='Tabla Impacto'!$C$13,P95='Tabla Impacto'!$D$13),"Moderado",IF(OR(P95='Tabla Impacto'!$C$14,P95:P95='Tabla Impacto'!$D$14),"Mayor",IF(OR(P95='Tabla Impacto'!$C$15,P95='Tabla Impacto'!$D$15),"Catastrófico","")))))</f>
        <v>Moderado</v>
      </c>
      <c r="R95" s="193">
        <f>IF(Q95="","",IF(Q95="Leve",0.2,IF(Q95="Menor",0.4,IF(Q95="Moderado",0.6,IF(Q95="Mayor",0.8,IF(Q95="Catastrófico",1,))))))</f>
        <v>0.6</v>
      </c>
      <c r="S95" s="252" t="str">
        <f>IF(OR(AND(M95="Muy Baja",Q95="Leve"),AND(M95="Muy Baja",Q95="Menor"),AND(M95="Baja",Q95="Leve")),"Bajo",IF(OR(AND(M95="Muy baja",Q95="Moderado"),AND(M95="Baja",Q95="Menor"),AND(M95="Baja",Q95="Moderado"),AND(M95="Media",Q95="Leve"),AND(M95="Media",Q95="Menor"),AND(M95="Media",Q95="Moderado"),AND(M95="Alta",Q95="Leve"),AND(M95="Alta",Q95="Menor")),"Moderado",IF(OR(AND(M95="Muy Baja",Q95="Mayor"),AND(M95="Baja",Q95="Mayor"),AND(M95="Media",Q95="Mayor"),AND(M95="Alta",Q95="Moderado"),AND(M95="Alta",Q95="Mayor"),AND(M95="Muy Alta",Q95="Leve"),AND(M95="Muy Alta",Q95="Menor"),AND(M95="Muy Alta",Q95="Moderado"),AND(M95="Muy Alta",Q95="Mayor")),"Alto",IF(OR(AND(M95="Muy Baja",Q95="Catastrófico"),AND(M95="Baja",Q95="Catastrófico"),AND(M95="Media",Q95="Catastrófico"),AND(M95="Alta",Q95="Catastrófico"),AND(M95="Muy Alta",Q95="Catastrófico")),"Extremo",""))))</f>
        <v>Moderado</v>
      </c>
      <c r="T95" s="143">
        <v>1</v>
      </c>
      <c r="U95" s="154" t="s">
        <v>526</v>
      </c>
      <c r="V95" s="149" t="str">
        <f t="shared" si="109"/>
        <v>Probabilidad</v>
      </c>
      <c r="W95" s="168" t="s">
        <v>12</v>
      </c>
      <c r="X95" s="168" t="s">
        <v>7</v>
      </c>
      <c r="Y95" s="150" t="str">
        <f>IF(AND(W95="Preventivo",X95="Automático"),"50%",IF(AND(W95="Preventivo",X95="Manual"),"40%",IF(AND(W95="Detectivo",X95="Automático"),"40%",IF(AND(W95="Detectivo",X95="Manual"),"30%",IF(AND(W95="Correctivo",X95="Automático"),"35%",IF(AND(W95="Correctivo",X95="Manual"),"25%",""))))))</f>
        <v>40%</v>
      </c>
      <c r="Z95" s="169" t="s">
        <v>17</v>
      </c>
      <c r="AA95" s="170" t="s">
        <v>20</v>
      </c>
      <c r="AB95" s="171" t="s">
        <v>114</v>
      </c>
      <c r="AC95" s="145" t="s">
        <v>527</v>
      </c>
      <c r="AD95" s="164">
        <f>IFERROR(IF(V95="Probabilidad",(N95-(+N95*Y95)),IF(V95="Impacto",N95,"")),"")</f>
        <v>0.36</v>
      </c>
      <c r="AE95" s="151" t="str">
        <f>IFERROR(IF(AD95="","",IF(AD95&lt;=0.2,"Muy Baja",IF(AD95&lt;=0.4,"Baja",IF(AD95&lt;=0.6,"Media",IF(AD95&lt;=0.8,"Alta","Muy Alta"))))),"")</f>
        <v>Baja</v>
      </c>
      <c r="AF95" s="81">
        <f>+AD95</f>
        <v>0.36</v>
      </c>
      <c r="AG95" s="82" t="str">
        <f t="shared" si="171"/>
        <v>Moderado</v>
      </c>
      <c r="AH95" s="81">
        <f t="shared" si="172"/>
        <v>0.6</v>
      </c>
      <c r="AI95" s="83" t="str">
        <f t="shared" si="173"/>
        <v>Moderado</v>
      </c>
      <c r="AJ95" s="208" t="str">
        <f>$AI$95</f>
        <v>Moderado</v>
      </c>
      <c r="AK95" s="234" t="s">
        <v>30</v>
      </c>
      <c r="AL95" s="158"/>
      <c r="AM95" s="158"/>
      <c r="AN95" s="158"/>
      <c r="AO95" s="158"/>
      <c r="AP95" s="158"/>
      <c r="AQ95" s="158"/>
    </row>
    <row r="96" spans="2:43" ht="138.75" customHeight="1" x14ac:dyDescent="0.2">
      <c r="B96" s="496"/>
      <c r="C96" s="556"/>
      <c r="D96" s="143">
        <v>68</v>
      </c>
      <c r="E96" s="214" t="s">
        <v>519</v>
      </c>
      <c r="F96" s="200" t="s">
        <v>522</v>
      </c>
      <c r="G96" s="136" t="s">
        <v>724</v>
      </c>
      <c r="H96" s="143" t="s">
        <v>563</v>
      </c>
      <c r="I96" s="143" t="s">
        <v>565</v>
      </c>
      <c r="J96" s="205" t="s">
        <v>123</v>
      </c>
      <c r="K96" s="143" t="s">
        <v>624</v>
      </c>
      <c r="L96" s="228">
        <v>450</v>
      </c>
      <c r="M96" s="188" t="str">
        <f>IF(L96&lt;=0,"",IF(L96&lt;=2,"Muy Baja",IF(L96&lt;=24,"Baja",IF(L96&lt;=500,"Media",IF(L96&lt;=5000,"Alta","Muy Alta")))))</f>
        <v>Media</v>
      </c>
      <c r="N96" s="307">
        <f>IF(M96="","",IF(M96="Muy Baja",0.2,IF(M96="Baja",0.4,IF(M96="Media",0.6,IF(M96="Alta",0.8,IF(M96="Muy Alta",1,))))))</f>
        <v>0.6</v>
      </c>
      <c r="O96" s="250" t="s">
        <v>145</v>
      </c>
      <c r="P96" s="258" t="s">
        <v>145</v>
      </c>
      <c r="Q96" s="308" t="str">
        <f>IF(OR(P96='Tabla Impacto'!$C$11,P96='Tabla Impacto'!$D$11),"Leve",IF(OR(P96='Tabla Impacto'!$C$12,P96='Tabla Impacto'!$D$12),"Menor",IF(OR(P96='Tabla Impacto'!$C$13,P96='Tabla Impacto'!$D$13),"Moderado",IF(OR(P96='Tabla Impacto'!$C$14,P96:P96='Tabla Impacto'!$D$14),"Mayor",IF(OR(P96='Tabla Impacto'!$C$15,P96='Tabla Impacto'!$D$15),"Catastrófico","")))))</f>
        <v>Moderado</v>
      </c>
      <c r="R96" s="258">
        <f>IF(Q96="","",IF(Q96="Leve",0.2,IF(Q96="Menor",0.4,IF(Q96="Moderado",0.6,IF(Q96="Mayor",0.8,IF(Q96="Catastrófico",1,))))))</f>
        <v>0.6</v>
      </c>
      <c r="S96" s="253" t="str">
        <f>IF(OR(AND(M96="Muy Baja",Q96="Leve"),AND(M96="Muy Baja",Q96="Menor"),AND(M96="Baja",Q96="Leve")),"Bajo",IF(OR(AND(M96="Muy baja",Q96="Moderado"),AND(M96="Baja",Q96="Menor"),AND(M96="Baja",Q96="Moderado"),AND(M96="Media",Q96="Leve"),AND(M96="Media",Q96="Menor"),AND(M96="Media",Q96="Moderado"),AND(M96="Alta",Q96="Leve"),AND(M96="Alta",Q96="Menor")),"Moderado",IF(OR(AND(M96="Muy Baja",Q96="Mayor"),AND(M96="Baja",Q96="Mayor"),AND(M96="Media",Q96="Mayor"),AND(M96="Alta",Q96="Moderado"),AND(M96="Alta",Q96="Mayor"),AND(M96="Muy Alta",Q96="Leve"),AND(M96="Muy Alta",Q96="Menor"),AND(M96="Muy Alta",Q96="Moderado"),AND(M96="Muy Alta",Q96="Mayor")),"Alto",IF(OR(AND(M96="Muy Baja",Q96="Catastrófico"),AND(M96="Baja",Q96="Catastrófico"),AND(M96="Media",Q96="Catastrófico"),AND(M96="Alta",Q96="Catastrófico"),AND(M96="Muy Alta",Q96="Catastrófico")),"Extremo",""))))</f>
        <v>Moderado</v>
      </c>
      <c r="T96" s="295">
        <v>1</v>
      </c>
      <c r="U96" s="224" t="s">
        <v>761</v>
      </c>
      <c r="V96" s="266" t="str">
        <f t="shared" ref="V96" si="174">IF(OR(W96="Preventivo",W96="Detectivo"),"Probabilidad",IF(W96="Correctivo","Impacto",""))</f>
        <v>Probabilidad</v>
      </c>
      <c r="W96" s="251" t="s">
        <v>12</v>
      </c>
      <c r="X96" s="168" t="s">
        <v>7</v>
      </c>
      <c r="Y96" s="150" t="str">
        <f>IF(AND(W96="Preventivo",X96="Automático"),"50%",IF(AND(W96="Preventivo",X96="Manual"),"40%",IF(AND(W96="Detectivo",X96="Automático"),"40%",IF(AND(W96="Detectivo",X96="Manual"),"30%",IF(AND(W96="Correctivo",X96="Automático"),"35%",IF(AND(W96="Correctivo",X96="Manual"),"25%",""))))))</f>
        <v>40%</v>
      </c>
      <c r="Z96" s="169" t="s">
        <v>17</v>
      </c>
      <c r="AA96" s="170" t="s">
        <v>20</v>
      </c>
      <c r="AB96" s="171" t="s">
        <v>114</v>
      </c>
      <c r="AC96" s="145" t="s">
        <v>651</v>
      </c>
      <c r="AD96" s="164">
        <f>IFERROR(IF(V96="Probabilidad",(N96-(+N96*Y96)),IF(V96="Impacto",N96,"")),"")</f>
        <v>0.36</v>
      </c>
      <c r="AE96" s="151" t="str">
        <f>IFERROR(IF(AD96="","",IF(AD96&lt;=0.2,"Muy Baja",IF(AD96&lt;=0.4,"Baja",IF(AD96&lt;=0.6,"Media",IF(AD96&lt;=0.8,"Alta","Muy Alta"))))),"")</f>
        <v>Baja</v>
      </c>
      <c r="AF96" s="81">
        <f>+AD96</f>
        <v>0.36</v>
      </c>
      <c r="AG96" s="82" t="str">
        <f t="shared" si="171"/>
        <v>Moderado</v>
      </c>
      <c r="AH96" s="81">
        <f t="shared" si="172"/>
        <v>0.6</v>
      </c>
      <c r="AI96" s="83" t="str">
        <f t="shared" si="173"/>
        <v>Moderado</v>
      </c>
      <c r="AJ96" s="208" t="str">
        <f>$AI$96</f>
        <v>Moderado</v>
      </c>
      <c r="AK96" s="234" t="s">
        <v>30</v>
      </c>
      <c r="AL96" s="158"/>
      <c r="AM96" s="158"/>
      <c r="AN96" s="158"/>
      <c r="AO96" s="158"/>
      <c r="AP96" s="158"/>
      <c r="AQ96" s="158"/>
    </row>
    <row r="97" spans="2:43" ht="120" customHeight="1" x14ac:dyDescent="0.2">
      <c r="B97" s="496"/>
      <c r="C97" s="556"/>
      <c r="D97" s="393">
        <v>69</v>
      </c>
      <c r="E97" s="429" t="s">
        <v>762</v>
      </c>
      <c r="F97" s="430" t="s">
        <v>763</v>
      </c>
      <c r="G97" s="389" t="s">
        <v>725</v>
      </c>
      <c r="H97" s="391" t="s">
        <v>563</v>
      </c>
      <c r="I97" s="391" t="s">
        <v>565</v>
      </c>
      <c r="J97" s="431" t="s">
        <v>123</v>
      </c>
      <c r="K97" s="391" t="s">
        <v>624</v>
      </c>
      <c r="L97" s="394">
        <v>400</v>
      </c>
      <c r="M97" s="395" t="str">
        <f>IF(L97&lt;=0,"",IF(L97&lt;=2,"Muy Baja",IF(L97&lt;=24,"Baja",IF(L97&lt;=500,"Media",IF(L97&lt;=5000,"Alta","Muy Alta")))))</f>
        <v>Media</v>
      </c>
      <c r="N97" s="405">
        <f>IF(M97="","",IF(M97="Muy Baja",0.2,IF(M97="Baja",0.4,IF(M97="Media",0.6,IF(M97="Alta",0.8,IF(M97="Muy Alta",1,))))))</f>
        <v>0.6</v>
      </c>
      <c r="O97" s="406" t="s">
        <v>145</v>
      </c>
      <c r="P97" s="405" t="s">
        <v>145</v>
      </c>
      <c r="Q97" s="395" t="str">
        <f>IF(OR(P97='Tabla Impacto'!$C$11,P97='Tabla Impacto'!$D$11),"Leve",IF(OR(P97='Tabla Impacto'!$C$12,P97='Tabla Impacto'!$D$12),"Menor",IF(OR(P97='Tabla Impacto'!$C$13,P97='Tabla Impacto'!$D$13),"Moderado",IF(OR(P97='Tabla Impacto'!$C$14,P97:P97='Tabla Impacto'!$D$14),"Mayor",IF(OR(P97='Tabla Impacto'!$C$15,P97='Tabla Impacto'!$D$15),"Catastrófico","")))))</f>
        <v>Moderado</v>
      </c>
      <c r="R97" s="405">
        <f>IF(Q97="","",IF(Q97="Leve",0.2,IF(Q97="Menor",0.4,IF(Q97="Moderado",0.6,IF(Q97="Mayor",0.8,IF(Q97="Catastrófico",1,))))))</f>
        <v>0.6</v>
      </c>
      <c r="S97" s="384" t="str">
        <f>IF(OR(AND(M97="Muy Baja",Q97="Leve"),AND(M97="Muy Baja",Q97="Menor"),AND(M97="Baja",Q97="Leve")),"Bajo",IF(OR(AND(M97="Muy baja",Q97="Moderado"),AND(M97="Baja",Q97="Menor"),AND(M97="Baja",Q97="Moderado"),AND(M97="Media",Q97="Leve"),AND(M97="Media",Q97="Menor"),AND(M97="Media",Q97="Moderado"),AND(M97="Alta",Q97="Leve"),AND(M97="Alta",Q97="Menor")),"Moderado",IF(OR(AND(M97="Muy Baja",Q97="Mayor"),AND(M97="Baja",Q97="Mayor"),AND(M97="Media",Q97="Mayor"),AND(M97="Alta",Q97="Moderado"),AND(M97="Alta",Q97="Mayor"),AND(M97="Muy Alta",Q97="Leve"),AND(M97="Muy Alta",Q97="Menor"),AND(M97="Muy Alta",Q97="Moderado"),AND(M97="Muy Alta",Q97="Mayor")),"Alto",IF(OR(AND(M97="Muy Baja",Q97="Catastrófico"),AND(M97="Baja",Q97="Catastrófico"),AND(M97="Media",Q97="Catastrófico"),AND(M97="Alta",Q97="Catastrófico"),AND(M97="Muy Alta",Q97="Catastrófico")),"Extremo",""))))</f>
        <v>Moderado</v>
      </c>
      <c r="T97" s="143">
        <v>1</v>
      </c>
      <c r="U97" s="140" t="s">
        <v>528</v>
      </c>
      <c r="V97" s="124" t="str">
        <f t="shared" si="109"/>
        <v>Probabilidad</v>
      </c>
      <c r="W97" s="125" t="s">
        <v>12</v>
      </c>
      <c r="X97" s="168" t="s">
        <v>7</v>
      </c>
      <c r="Y97" s="150" t="str">
        <f t="shared" ref="Y97:Y99" si="175">IF(AND(W97="Preventivo",X97="Automático"),"50%",IF(AND(W97="Preventivo",X97="Manual"),"40%",IF(AND(W97="Detectivo",X97="Automático"),"40%",IF(AND(W97="Detectivo",X97="Manual"),"30%",IF(AND(W97="Correctivo",X97="Automático"),"35%",IF(AND(W97="Correctivo",X97="Manual"),"25%",""))))))</f>
        <v>40%</v>
      </c>
      <c r="Z97" s="169" t="s">
        <v>17</v>
      </c>
      <c r="AA97" s="170" t="s">
        <v>20</v>
      </c>
      <c r="AB97" s="171" t="s">
        <v>114</v>
      </c>
      <c r="AC97" s="145" t="s">
        <v>529</v>
      </c>
      <c r="AD97" s="164">
        <f>IFERROR(IF(V97="Probabilidad",(N97-(+N97*Y97)),IF(V97="Impacto",N97,"")),"")</f>
        <v>0.36</v>
      </c>
      <c r="AE97" s="151" t="str">
        <f>IFERROR(IF(AD97="","",IF(AD97&lt;=0.2,"Muy Baja",IF(AD97&lt;=0.4,"Baja",IF(AD97&lt;=0.6,"Media",IF(AD97&lt;=0.8,"Alta","Muy Alta"))))),"")</f>
        <v>Baja</v>
      </c>
      <c r="AF97" s="81">
        <f>+AD97</f>
        <v>0.36</v>
      </c>
      <c r="AG97" s="82" t="str">
        <f t="shared" si="171"/>
        <v>Moderado</v>
      </c>
      <c r="AH97" s="81">
        <f t="shared" si="172"/>
        <v>0.6</v>
      </c>
      <c r="AI97" s="83" t="str">
        <f t="shared" si="173"/>
        <v>Moderado</v>
      </c>
      <c r="AJ97" s="411" t="str">
        <f>$AI$98</f>
        <v>Bajo</v>
      </c>
      <c r="AK97" s="401" t="s">
        <v>29</v>
      </c>
      <c r="AL97" s="158"/>
      <c r="AM97" s="158"/>
      <c r="AN97" s="158"/>
      <c r="AO97" s="158"/>
      <c r="AP97" s="158"/>
      <c r="AQ97" s="158"/>
    </row>
    <row r="98" spans="2:43" ht="186" customHeight="1" x14ac:dyDescent="0.2">
      <c r="B98" s="496"/>
      <c r="C98" s="556"/>
      <c r="D98" s="393"/>
      <c r="E98" s="429"/>
      <c r="F98" s="430"/>
      <c r="G98" s="390"/>
      <c r="H98" s="392"/>
      <c r="I98" s="392"/>
      <c r="J98" s="432"/>
      <c r="K98" s="392"/>
      <c r="L98" s="394"/>
      <c r="M98" s="395"/>
      <c r="N98" s="405"/>
      <c r="O98" s="406"/>
      <c r="P98" s="405"/>
      <c r="Q98" s="395"/>
      <c r="R98" s="405"/>
      <c r="S98" s="384"/>
      <c r="T98" s="143">
        <v>2</v>
      </c>
      <c r="U98" s="140" t="s">
        <v>530</v>
      </c>
      <c r="V98" s="124" t="str">
        <f t="shared" si="109"/>
        <v>Probabilidad</v>
      </c>
      <c r="W98" s="125" t="s">
        <v>12</v>
      </c>
      <c r="X98" s="168" t="s">
        <v>7</v>
      </c>
      <c r="Y98" s="150" t="str">
        <f t="shared" si="175"/>
        <v>40%</v>
      </c>
      <c r="Z98" s="169" t="s">
        <v>17</v>
      </c>
      <c r="AA98" s="170" t="s">
        <v>20</v>
      </c>
      <c r="AB98" s="171" t="s">
        <v>114</v>
      </c>
      <c r="AC98" s="145" t="s">
        <v>531</v>
      </c>
      <c r="AD98" s="164">
        <f>IFERROR(IF(AND(V97="Probabilidad",V98="Probabilidad"),(AF97-(+AF97*Y98)),IF(V98="Probabilidad",(N97-(+N97*Y98)),IF(V98="Impacto",AF97,""))),"")</f>
        <v>0.216</v>
      </c>
      <c r="AE98" s="151" t="str">
        <f t="shared" ref="AE98" si="176">IFERROR(IF(AD98="","",IF(AD98&lt;=0.2,"Muy Baja",IF(AD98&lt;=0.4,"Baja",IF(AD98&lt;=0.6,"Media",IF(AD98&lt;=0.8,"Alta","Muy Alta"))))),"")</f>
        <v>Baja</v>
      </c>
      <c r="AF98" s="81">
        <f t="shared" ref="AF98" si="177">+AD98</f>
        <v>0.216</v>
      </c>
      <c r="AG98" s="82" t="str">
        <f t="shared" si="171"/>
        <v>Leve</v>
      </c>
      <c r="AH98" s="81">
        <f t="shared" si="172"/>
        <v>0</v>
      </c>
      <c r="AI98" s="83" t="str">
        <f t="shared" si="173"/>
        <v>Bajo</v>
      </c>
      <c r="AJ98" s="412"/>
      <c r="AK98" s="402"/>
      <c r="AL98" s="158"/>
      <c r="AM98" s="158"/>
      <c r="AN98" s="158"/>
      <c r="AO98" s="158"/>
      <c r="AP98" s="158"/>
      <c r="AQ98" s="158"/>
    </row>
    <row r="99" spans="2:43" ht="134.25" customHeight="1" x14ac:dyDescent="0.2">
      <c r="B99" s="496"/>
      <c r="C99" s="556"/>
      <c r="D99" s="143">
        <v>70</v>
      </c>
      <c r="E99" s="214" t="s">
        <v>726</v>
      </c>
      <c r="F99" s="200" t="s">
        <v>727</v>
      </c>
      <c r="G99" s="202" t="s">
        <v>764</v>
      </c>
      <c r="H99" s="220" t="s">
        <v>563</v>
      </c>
      <c r="I99" s="220" t="s">
        <v>565</v>
      </c>
      <c r="J99" s="205" t="s">
        <v>123</v>
      </c>
      <c r="K99" s="220" t="s">
        <v>624</v>
      </c>
      <c r="L99" s="183">
        <v>400</v>
      </c>
      <c r="M99" s="272" t="str">
        <f t="shared" ref="M99:M104" si="178">IF(L99&lt;=0,"",IF(L99&lt;=2,"Muy Baja",IF(L99&lt;=24,"Baja",IF(L99&lt;=500,"Media",IF(L99&lt;=5000,"Alta","Muy Alta")))))</f>
        <v>Media</v>
      </c>
      <c r="N99" s="193">
        <f t="shared" ref="N99:N104" si="179">IF(M99="","",IF(M99="Muy Baja",0.2,IF(M99="Baja",0.4,IF(M99="Media",0.6,IF(M99="Alta",0.8,IF(M99="Muy Alta",1,))))))</f>
        <v>0.6</v>
      </c>
      <c r="O99" s="250" t="s">
        <v>145</v>
      </c>
      <c r="P99" s="189" t="s">
        <v>145</v>
      </c>
      <c r="Q99" s="296" t="str">
        <f>IF(OR(P99='Tabla Impacto'!$C$11,P99='Tabla Impacto'!$D$11),"Leve",IF(OR(P99='Tabla Impacto'!$C$12,P99='Tabla Impacto'!$D$12),"Menor",IF(OR(P99='Tabla Impacto'!$C$13,P99='Tabla Impacto'!$D$13),"Moderado",IF(OR(P99='Tabla Impacto'!$C$14,P99:P99='Tabla Impacto'!$D$14),"Mayor",IF(OR(P99='Tabla Impacto'!$C$15,P99='Tabla Impacto'!$D$15),"Catastrófico","")))))</f>
        <v>Moderado</v>
      </c>
      <c r="R99" s="297">
        <f t="shared" ref="R99:R104" si="180">IF(Q99="","",IF(Q99="Leve",0.2,IF(Q99="Menor",0.4,IF(Q99="Moderado",0.6,IF(Q99="Mayor",0.8,IF(Q99="Catastrófico",1,))))))</f>
        <v>0.6</v>
      </c>
      <c r="S99" s="259" t="str">
        <f t="shared" ref="S99:S104" si="181">IF(OR(AND(M99="Muy Baja",Q99="Leve"),AND(M99="Muy Baja",Q99="Menor"),AND(M99="Baja",Q99="Leve")),"Bajo",IF(OR(AND(M99="Muy baja",Q99="Moderado"),AND(M99="Baja",Q99="Menor"),AND(M99="Baja",Q99="Moderado"),AND(M99="Media",Q99="Leve"),AND(M99="Media",Q99="Menor"),AND(M99="Media",Q99="Moderado"),AND(M99="Alta",Q99="Leve"),AND(M99="Alta",Q99="Menor")),"Moderado",IF(OR(AND(M99="Muy Baja",Q99="Mayor"),AND(M99="Baja",Q99="Mayor"),AND(M99="Media",Q99="Mayor"),AND(M99="Alta",Q99="Moderado"),AND(M99="Alta",Q99="Mayor"),AND(M99="Muy Alta",Q99="Leve"),AND(M99="Muy Alta",Q99="Menor"),AND(M99="Muy Alta",Q99="Moderado"),AND(M99="Muy Alta",Q99="Mayor")),"Alto",IF(OR(AND(M99="Muy Baja",Q99="Catastrófico"),AND(M99="Baja",Q99="Catastrófico"),AND(M99="Media",Q99="Catastrófico"),AND(M99="Alta",Q99="Catastrófico"),AND(M99="Muy Alta",Q99="Catastrófico")),"Extremo",""))))</f>
        <v>Moderado</v>
      </c>
      <c r="T99" s="159">
        <v>1</v>
      </c>
      <c r="U99" s="327" t="s">
        <v>765</v>
      </c>
      <c r="V99" s="146" t="str">
        <f t="shared" si="109"/>
        <v>Probabilidad</v>
      </c>
      <c r="W99" s="147" t="s">
        <v>12</v>
      </c>
      <c r="X99" s="168" t="s">
        <v>7</v>
      </c>
      <c r="Y99" s="150" t="str">
        <f t="shared" si="175"/>
        <v>40%</v>
      </c>
      <c r="Z99" s="169" t="s">
        <v>17</v>
      </c>
      <c r="AA99" s="170" t="s">
        <v>20</v>
      </c>
      <c r="AB99" s="171" t="s">
        <v>114</v>
      </c>
      <c r="AC99" s="145" t="s">
        <v>728</v>
      </c>
      <c r="AD99" s="164">
        <f t="shared" ref="AD99:AD104" si="182">IFERROR(IF(V99="Probabilidad",(N99-(+N99*Y99)),IF(V99="Impacto",N99,"")),"")</f>
        <v>0.36</v>
      </c>
      <c r="AE99" s="151" t="str">
        <f t="shared" ref="AE99:AE104" si="183">IFERROR(IF(AD99="","",IF(AD99&lt;=0.2,"Muy Baja",IF(AD99&lt;=0.4,"Baja",IF(AD99&lt;=0.6,"Media",IF(AD99&lt;=0.8,"Alta","Muy Alta"))))),"")</f>
        <v>Baja</v>
      </c>
      <c r="AF99" s="81">
        <f t="shared" ref="AF99:AF104" si="184">+AD99</f>
        <v>0.36</v>
      </c>
      <c r="AG99" s="82" t="str">
        <f t="shared" si="171"/>
        <v>Moderado</v>
      </c>
      <c r="AH99" s="81">
        <f t="shared" si="172"/>
        <v>0.6</v>
      </c>
      <c r="AI99" s="83" t="str">
        <f t="shared" si="173"/>
        <v>Moderado</v>
      </c>
      <c r="AJ99" s="83" t="str">
        <f>$AI$99</f>
        <v>Moderado</v>
      </c>
      <c r="AK99" s="234" t="s">
        <v>30</v>
      </c>
      <c r="AL99" s="158"/>
      <c r="AM99" s="158"/>
      <c r="AN99" s="158"/>
      <c r="AO99" s="158"/>
      <c r="AP99" s="158"/>
      <c r="AQ99" s="158"/>
    </row>
    <row r="100" spans="2:43" ht="150.75" customHeight="1" x14ac:dyDescent="0.2">
      <c r="B100" s="390"/>
      <c r="C100" s="459"/>
      <c r="D100" s="143">
        <v>71</v>
      </c>
      <c r="E100" s="302" t="s">
        <v>658</v>
      </c>
      <c r="F100" s="200" t="s">
        <v>659</v>
      </c>
      <c r="G100" s="202" t="s">
        <v>660</v>
      </c>
      <c r="H100" s="220" t="s">
        <v>563</v>
      </c>
      <c r="I100" s="220" t="s">
        <v>565</v>
      </c>
      <c r="J100" s="205" t="s">
        <v>123</v>
      </c>
      <c r="K100" s="220" t="s">
        <v>624</v>
      </c>
      <c r="L100" s="142">
        <v>12</v>
      </c>
      <c r="M100" s="192" t="str">
        <f t="shared" si="178"/>
        <v>Baja</v>
      </c>
      <c r="N100" s="193">
        <f t="shared" si="179"/>
        <v>0.4</v>
      </c>
      <c r="O100" s="194" t="s">
        <v>145</v>
      </c>
      <c r="P100" s="193" t="s">
        <v>145</v>
      </c>
      <c r="Q100" s="276" t="str">
        <f>IF(OR(P100='Tabla Impacto'!$C$11,P100='Tabla Impacto'!$D$11),"Leve",IF(OR(P100='Tabla Impacto'!$C$12,P100='Tabla Impacto'!$D$12),"Menor",IF(OR(P100='Tabla Impacto'!$C$13,P100='Tabla Impacto'!$D$13),"Moderado",IF(OR(P100='Tabla Impacto'!$C$14,P100:P100='Tabla Impacto'!$D$14),"Mayor",IF(OR(P100='Tabla Impacto'!$C$15,P100='Tabla Impacto'!$D$15),"Catastrófico","")))))</f>
        <v>Moderado</v>
      </c>
      <c r="R100" s="235">
        <f t="shared" si="180"/>
        <v>0.6</v>
      </c>
      <c r="S100" s="253" t="str">
        <f t="shared" si="181"/>
        <v>Moderado</v>
      </c>
      <c r="T100" s="283">
        <v>1</v>
      </c>
      <c r="U100" s="140" t="s">
        <v>662</v>
      </c>
      <c r="V100" s="149" t="str">
        <f t="shared" ref="V100" si="185">IF(OR(W100="Preventivo",W100="Detectivo"),"Probabilidad",IF(W100="Correctivo","Impacto",""))</f>
        <v>Probabilidad</v>
      </c>
      <c r="W100" s="168" t="s">
        <v>12</v>
      </c>
      <c r="X100" s="168" t="s">
        <v>7</v>
      </c>
      <c r="Y100" s="150" t="str">
        <f t="shared" ref="Y100" si="186">IF(AND(W100="Preventivo",X100="Automático"),"50%",IF(AND(W100="Preventivo",X100="Manual"),"40%",IF(AND(W100="Detectivo",X100="Automático"),"40%",IF(AND(W100="Detectivo",X100="Manual"),"30%",IF(AND(W100="Correctivo",X100="Automático"),"35%",IF(AND(W100="Correctivo",X100="Manual"),"25%",""))))))</f>
        <v>40%</v>
      </c>
      <c r="Z100" s="169" t="s">
        <v>17</v>
      </c>
      <c r="AA100" s="170" t="s">
        <v>20</v>
      </c>
      <c r="AB100" s="171" t="s">
        <v>114</v>
      </c>
      <c r="AC100" s="145" t="s">
        <v>661</v>
      </c>
      <c r="AD100" s="164">
        <f t="shared" si="182"/>
        <v>0.24</v>
      </c>
      <c r="AE100" s="151" t="str">
        <f t="shared" si="183"/>
        <v>Baja</v>
      </c>
      <c r="AF100" s="81">
        <f t="shared" si="184"/>
        <v>0.24</v>
      </c>
      <c r="AG100" s="82" t="str">
        <f t="shared" ref="AG100" si="187">IFERROR(IF(AH100="","",IF(AH100&lt;=0.2,"Leve",IF(AH100&lt;=0.4,"Menor",IF(AH100&lt;=0.6,"Moderado",IF(AH100&lt;=0.8,"Mayor","Catastrófico"))))),"")</f>
        <v>Moderado</v>
      </c>
      <c r="AH100" s="81">
        <f t="shared" ref="AH100" si="188">IFERROR(IF(V100="Impacto",(R100-(+R100*Y100)),IF(V100="Probabilidad",R100,"")),"")</f>
        <v>0.6</v>
      </c>
      <c r="AI100" s="83" t="str">
        <f t="shared" ref="AI100" si="189">IFERROR(IF(OR(AND(AE100="Muy Baja",AG100="Leve"),AND(AE100="Muy Baja",AG100="Menor"),AND(AE100="Baja",AG100="Leve")),"Bajo",IF(OR(AND(AE100="Muy baja",AG100="Moderado"),AND(AE100="Baja",AG100="Menor"),AND(AE100="Baja",AG100="Moderado"),AND(AE100="Media",AG100="Leve"),AND(AE100="Media",AG100="Menor"),AND(AE100="Media",AG100="Moderado"),AND(AE100="Alta",AG100="Leve"),AND(AE100="Alta",AG100="Menor")),"Moderado",IF(OR(AND(AE100="Muy Baja",AG100="Mayor"),AND(AE100="Baja",AG100="Mayor"),AND(AE100="Media",AG100="Mayor"),AND(AE100="Alta",AG100="Moderado"),AND(AE100="Alta",AG100="Mayor"),AND(AE100="Muy Alta",AG100="Leve"),AND(AE100="Muy Alta",AG100="Menor"),AND(AE100="Muy Alta",AG100="Moderado"),AND(AE100="Muy Alta",AG100="Mayor")),"Alto",IF(OR(AND(AE100="Muy Baja",AG100="Catastrófico"),AND(AE100="Baja",AG100="Catastrófico"),AND(AE100="Media",AG100="Catastrófico"),AND(AE100="Alta",AG100="Catastrófico"),AND(AE100="Muy Alta",AG100="Catastrófico")),"Extremo","")))),"")</f>
        <v>Moderado</v>
      </c>
      <c r="AJ100" s="83" t="str">
        <f>$AI$100</f>
        <v>Moderado</v>
      </c>
      <c r="AK100" s="234" t="s">
        <v>30</v>
      </c>
      <c r="AL100" s="274"/>
      <c r="AM100" s="274"/>
      <c r="AN100" s="274"/>
      <c r="AO100" s="274"/>
      <c r="AP100" s="274"/>
      <c r="AQ100" s="274"/>
    </row>
    <row r="101" spans="2:43" ht="126" customHeight="1" x14ac:dyDescent="0.2">
      <c r="B101" s="425" t="s">
        <v>533</v>
      </c>
      <c r="C101" s="428" t="s">
        <v>533</v>
      </c>
      <c r="D101" s="143">
        <v>72</v>
      </c>
      <c r="E101" s="212" t="s">
        <v>532</v>
      </c>
      <c r="F101" s="140" t="s">
        <v>534</v>
      </c>
      <c r="G101" s="136" t="s">
        <v>621</v>
      </c>
      <c r="H101" s="143" t="s">
        <v>563</v>
      </c>
      <c r="I101" s="143" t="s">
        <v>565</v>
      </c>
      <c r="J101" s="140" t="s">
        <v>123</v>
      </c>
      <c r="K101" s="143" t="s">
        <v>624</v>
      </c>
      <c r="L101" s="183">
        <f>360*8</f>
        <v>2880</v>
      </c>
      <c r="M101" s="272" t="str">
        <f t="shared" si="178"/>
        <v>Alta</v>
      </c>
      <c r="N101" s="193">
        <f t="shared" si="179"/>
        <v>0.8</v>
      </c>
      <c r="O101" s="194" t="s">
        <v>145</v>
      </c>
      <c r="P101" s="193" t="s">
        <v>145</v>
      </c>
      <c r="Q101" s="282" t="str">
        <f>IF(OR(P101='Tabla Impacto'!$C$11,P101='Tabla Impacto'!$D$11),"Leve",IF(OR(P101='Tabla Impacto'!$C$12,P101='Tabla Impacto'!$D$12),"Menor",IF(OR(P101='Tabla Impacto'!$C$13,P101='Tabla Impacto'!$D$13),"Moderado",IF(OR(P101='Tabla Impacto'!$C$14,P101:P101='Tabla Impacto'!$D$14),"Mayor",IF(OR(P101='Tabla Impacto'!$C$15,P101='Tabla Impacto'!$D$15),"Catastrófico","")))))</f>
        <v>Moderado</v>
      </c>
      <c r="R101" s="189">
        <f t="shared" si="180"/>
        <v>0.6</v>
      </c>
      <c r="S101" s="247" t="str">
        <f t="shared" si="181"/>
        <v>Alto</v>
      </c>
      <c r="T101" s="141">
        <v>1</v>
      </c>
      <c r="U101" s="144" t="s">
        <v>536</v>
      </c>
      <c r="V101" s="146" t="str">
        <f t="shared" si="109"/>
        <v>Probabilidad</v>
      </c>
      <c r="W101" s="147" t="s">
        <v>12</v>
      </c>
      <c r="X101" s="147" t="s">
        <v>7</v>
      </c>
      <c r="Y101" s="148" t="str">
        <f>IF(AND(W101="Preventivo",X101="Automático"),"50%",IF(AND(W101="Preventivo",X101="Manual"),"40%",IF(AND(W101="Detectivo",X101="Automático"),"40%",IF(AND(W101="Detectivo",X101="Manual"),"30%",IF(AND(W101="Correctivo",X101="Automático"),"35%",IF(AND(W101="Correctivo",X101="Manual"),"25%",""))))))</f>
        <v>40%</v>
      </c>
      <c r="Z101" s="161" t="s">
        <v>17</v>
      </c>
      <c r="AA101" s="162" t="s">
        <v>20</v>
      </c>
      <c r="AB101" s="163" t="s">
        <v>114</v>
      </c>
      <c r="AC101" s="145" t="s">
        <v>537</v>
      </c>
      <c r="AD101" s="164">
        <f t="shared" si="182"/>
        <v>0.48</v>
      </c>
      <c r="AE101" s="165" t="str">
        <f t="shared" si="183"/>
        <v>Media</v>
      </c>
      <c r="AF101" s="148">
        <f t="shared" si="184"/>
        <v>0.48</v>
      </c>
      <c r="AG101" s="166" t="str">
        <f t="shared" si="171"/>
        <v>Moderado</v>
      </c>
      <c r="AH101" s="148">
        <f t="shared" si="172"/>
        <v>0.6</v>
      </c>
      <c r="AI101" s="167" t="str">
        <f t="shared" si="173"/>
        <v>Moderado</v>
      </c>
      <c r="AJ101" s="167" t="str">
        <f>$AI$101</f>
        <v>Moderado</v>
      </c>
      <c r="AK101" s="288" t="s">
        <v>30</v>
      </c>
      <c r="AL101" s="144" t="s">
        <v>538</v>
      </c>
      <c r="AM101" s="144" t="s">
        <v>539</v>
      </c>
      <c r="AN101" s="181"/>
      <c r="AO101" s="181"/>
      <c r="AP101" s="144" t="s">
        <v>462</v>
      </c>
      <c r="AQ101" s="183" t="s">
        <v>38</v>
      </c>
    </row>
    <row r="102" spans="2:43" ht="102" x14ac:dyDescent="0.2">
      <c r="B102" s="425"/>
      <c r="C102" s="428"/>
      <c r="D102" s="143">
        <v>73</v>
      </c>
      <c r="E102" s="212" t="s">
        <v>766</v>
      </c>
      <c r="F102" s="140" t="s">
        <v>535</v>
      </c>
      <c r="G102" s="136" t="s">
        <v>767</v>
      </c>
      <c r="H102" s="143" t="s">
        <v>563</v>
      </c>
      <c r="I102" s="143" t="s">
        <v>565</v>
      </c>
      <c r="J102" s="140" t="s">
        <v>123</v>
      </c>
      <c r="K102" s="143" t="s">
        <v>624</v>
      </c>
      <c r="L102" s="142">
        <f>22*4</f>
        <v>88</v>
      </c>
      <c r="M102" s="192" t="str">
        <f t="shared" si="178"/>
        <v>Media</v>
      </c>
      <c r="N102" s="189">
        <f t="shared" si="179"/>
        <v>0.6</v>
      </c>
      <c r="O102" s="249" t="s">
        <v>146</v>
      </c>
      <c r="P102" s="246" t="s">
        <v>146</v>
      </c>
      <c r="Q102" s="209" t="str">
        <f>IF(OR(P102='Tabla Impacto'!$C$11,P102='Tabla Impacto'!$D$11),"Leve",IF(OR(P102='Tabla Impacto'!$C$12,P102='Tabla Impacto'!$D$12),"Menor",IF(OR(P102='Tabla Impacto'!$C$13,P102='Tabla Impacto'!$D$13),"Moderado",IF(OR(P102='Tabla Impacto'!$C$14,P102:P102='Tabla Impacto'!$D$14),"Mayor",IF(OR(P102='Tabla Impacto'!$C$15,P102='Tabla Impacto'!$D$15),"Catastrófico","")))))</f>
        <v>Mayor</v>
      </c>
      <c r="R102" s="190">
        <f>IF(Q102="","",IF(Q102="Leve",0.2,IF(Q102="Menor",0.4,IF(Q102="Moderado",0.6,IF(Q102="Mayor",0.8,IF(Q102="Catastrófico",1,))))))</f>
        <v>0.8</v>
      </c>
      <c r="S102" s="252" t="str">
        <f t="shared" si="181"/>
        <v>Alto</v>
      </c>
      <c r="T102" s="143">
        <v>1</v>
      </c>
      <c r="U102" s="222" t="s">
        <v>540</v>
      </c>
      <c r="V102" s="146" t="str">
        <f t="shared" si="109"/>
        <v>Probabilidad</v>
      </c>
      <c r="W102" s="168" t="s">
        <v>12</v>
      </c>
      <c r="X102" s="168" t="s">
        <v>7</v>
      </c>
      <c r="Y102" s="150" t="str">
        <f>IF(AND(W102="Preventivo",X102="Automático"),"50%",IF(AND(W102="Preventivo",X102="Manual"),"40%",IF(AND(W102="Detectivo",X102="Automático"),"40%",IF(AND(W102="Detectivo",X102="Manual"),"30%",IF(AND(W102="Correctivo",X102="Automático"),"35%",IF(AND(W102="Correctivo",X102="Manual"),"25%",""))))))</f>
        <v>40%</v>
      </c>
      <c r="Z102" s="169" t="s">
        <v>17</v>
      </c>
      <c r="AA102" s="170" t="s">
        <v>20</v>
      </c>
      <c r="AB102" s="171" t="s">
        <v>114</v>
      </c>
      <c r="AC102" s="206" t="s">
        <v>541</v>
      </c>
      <c r="AD102" s="187">
        <f t="shared" si="182"/>
        <v>0.36</v>
      </c>
      <c r="AE102" s="151" t="str">
        <f t="shared" si="183"/>
        <v>Baja</v>
      </c>
      <c r="AF102" s="81">
        <f t="shared" si="184"/>
        <v>0.36</v>
      </c>
      <c r="AG102" s="82" t="str">
        <f t="shared" si="171"/>
        <v>Mayor</v>
      </c>
      <c r="AH102" s="81">
        <f t="shared" si="172"/>
        <v>0.8</v>
      </c>
      <c r="AI102" s="83" t="str">
        <f t="shared" si="173"/>
        <v>Alto</v>
      </c>
      <c r="AJ102" s="83" t="str">
        <f>$AI$102</f>
        <v>Alto</v>
      </c>
      <c r="AK102" s="125" t="s">
        <v>129</v>
      </c>
      <c r="AL102" s="140" t="s">
        <v>542</v>
      </c>
      <c r="AM102" s="140" t="s">
        <v>539</v>
      </c>
      <c r="AN102" s="239" t="s">
        <v>627</v>
      </c>
      <c r="AO102" s="243" t="s">
        <v>407</v>
      </c>
      <c r="AP102" s="140" t="s">
        <v>543</v>
      </c>
      <c r="AQ102" s="142" t="s">
        <v>38</v>
      </c>
    </row>
    <row r="103" spans="2:43" ht="63.75" customHeight="1" x14ac:dyDescent="0.2">
      <c r="B103" s="425" t="s">
        <v>549</v>
      </c>
      <c r="C103" s="213" t="s">
        <v>548</v>
      </c>
      <c r="D103" s="143">
        <v>74</v>
      </c>
      <c r="E103" s="212" t="s">
        <v>544</v>
      </c>
      <c r="F103" s="140" t="s">
        <v>546</v>
      </c>
      <c r="G103" s="136" t="s">
        <v>622</v>
      </c>
      <c r="H103" s="143" t="s">
        <v>563</v>
      </c>
      <c r="I103" s="143" t="s">
        <v>565</v>
      </c>
      <c r="J103" s="140" t="s">
        <v>118</v>
      </c>
      <c r="K103" s="143" t="s">
        <v>624</v>
      </c>
      <c r="L103" s="142">
        <v>175</v>
      </c>
      <c r="M103" s="192" t="str">
        <f t="shared" si="178"/>
        <v>Media</v>
      </c>
      <c r="N103" s="201">
        <f t="shared" si="179"/>
        <v>0.6</v>
      </c>
      <c r="O103" s="156" t="s">
        <v>145</v>
      </c>
      <c r="P103" s="153" t="s">
        <v>145</v>
      </c>
      <c r="Q103" s="209" t="str">
        <f>IF(OR(P103='Tabla Impacto'!$C$11,P103='Tabla Impacto'!$D$11),"Leve",IF(OR(P103='Tabla Impacto'!$C$12,P103='Tabla Impacto'!$D$12),"Menor",IF(OR(P103='Tabla Impacto'!$C$13,P103='Tabla Impacto'!$D$13),"Moderado",IF(OR(P103='Tabla Impacto'!$C$14,P103:P103='Tabla Impacto'!$D$14),"Mayor",IF(OR(P103='Tabla Impacto'!$C$15,P103='Tabla Impacto'!$D$15),"Catastrófico","")))))</f>
        <v>Moderado</v>
      </c>
      <c r="R103" s="189">
        <f t="shared" si="180"/>
        <v>0.6</v>
      </c>
      <c r="S103" s="247" t="str">
        <f t="shared" si="181"/>
        <v>Moderado</v>
      </c>
      <c r="T103" s="141">
        <v>1</v>
      </c>
      <c r="U103" s="154" t="s">
        <v>755</v>
      </c>
      <c r="V103" s="146" t="str">
        <f t="shared" si="109"/>
        <v>Probabilidad</v>
      </c>
      <c r="W103" s="147" t="s">
        <v>12</v>
      </c>
      <c r="X103" s="147" t="s">
        <v>7</v>
      </c>
      <c r="Y103" s="148" t="str">
        <f>IF(AND(W103="Preventivo",X103="Automático"),"50%",IF(AND(W103="Preventivo",X103="Manual"),"40%",IF(AND(W103="Detectivo",X103="Automático"),"40%",IF(AND(W103="Detectivo",X103="Manual"),"30%",IF(AND(W103="Correctivo",X103="Automático"),"35%",IF(AND(W103="Correctivo",X103="Manual"),"25%",""))))))</f>
        <v>40%</v>
      </c>
      <c r="Z103" s="161" t="s">
        <v>17</v>
      </c>
      <c r="AA103" s="162" t="s">
        <v>20</v>
      </c>
      <c r="AB103" s="163" t="s">
        <v>114</v>
      </c>
      <c r="AC103" s="145" t="s">
        <v>509</v>
      </c>
      <c r="AD103" s="164">
        <f t="shared" si="182"/>
        <v>0.36</v>
      </c>
      <c r="AE103" s="165" t="str">
        <f t="shared" si="183"/>
        <v>Baja</v>
      </c>
      <c r="AF103" s="148">
        <f t="shared" si="184"/>
        <v>0.36</v>
      </c>
      <c r="AG103" s="166" t="str">
        <f t="shared" si="171"/>
        <v>Moderado</v>
      </c>
      <c r="AH103" s="148">
        <f t="shared" si="172"/>
        <v>0.6</v>
      </c>
      <c r="AI103" s="167" t="str">
        <f t="shared" si="173"/>
        <v>Moderado</v>
      </c>
      <c r="AJ103" s="167" t="str">
        <f>$AI$103</f>
        <v>Moderado</v>
      </c>
      <c r="AK103" s="234" t="s">
        <v>30</v>
      </c>
      <c r="AL103" s="144"/>
      <c r="AM103" s="144"/>
      <c r="AN103" s="238"/>
      <c r="AO103" s="242"/>
      <c r="AP103" s="144"/>
      <c r="AQ103" s="183"/>
    </row>
    <row r="104" spans="2:43" ht="76.5" x14ac:dyDescent="0.2">
      <c r="B104" s="425"/>
      <c r="C104" s="416" t="s">
        <v>548</v>
      </c>
      <c r="D104" s="393">
        <v>75</v>
      </c>
      <c r="E104" s="385" t="s">
        <v>545</v>
      </c>
      <c r="F104" s="387" t="s">
        <v>547</v>
      </c>
      <c r="G104" s="389" t="s">
        <v>617</v>
      </c>
      <c r="H104" s="391" t="s">
        <v>563</v>
      </c>
      <c r="I104" s="391" t="s">
        <v>565</v>
      </c>
      <c r="J104" s="387" t="s">
        <v>118</v>
      </c>
      <c r="K104" s="391" t="s">
        <v>624</v>
      </c>
      <c r="L104" s="394">
        <v>428</v>
      </c>
      <c r="M104" s="395" t="str">
        <f t="shared" si="178"/>
        <v>Media</v>
      </c>
      <c r="N104" s="426">
        <f t="shared" si="179"/>
        <v>0.6</v>
      </c>
      <c r="O104" s="418" t="s">
        <v>146</v>
      </c>
      <c r="P104" s="420" t="s">
        <v>146</v>
      </c>
      <c r="Q104" s="407" t="str">
        <f>IF(OR(P104='Tabla Impacto'!$C$11,P104='Tabla Impacto'!$D$11),"Leve",IF(OR(P104='Tabla Impacto'!$C$12,P104='Tabla Impacto'!$D$12),"Menor",IF(OR(P104='Tabla Impacto'!$C$13,P104='Tabla Impacto'!$D$13),"Moderado",IF(OR(P104='Tabla Impacto'!$C$14,P104:P104='Tabla Impacto'!$D$14),"Mayor",IF(OR(P104='Tabla Impacto'!$C$15,P104='Tabla Impacto'!$D$15),"Catastrófico","")))))</f>
        <v>Mayor</v>
      </c>
      <c r="R104" s="409">
        <f t="shared" si="180"/>
        <v>0.8</v>
      </c>
      <c r="S104" s="421" t="str">
        <f t="shared" si="181"/>
        <v>Alto</v>
      </c>
      <c r="T104" s="143">
        <v>1</v>
      </c>
      <c r="U104" s="140" t="s">
        <v>757</v>
      </c>
      <c r="V104" s="149" t="str">
        <f t="shared" si="109"/>
        <v>Probabilidad</v>
      </c>
      <c r="W104" s="168" t="s">
        <v>12</v>
      </c>
      <c r="X104" s="168" t="s">
        <v>7</v>
      </c>
      <c r="Y104" s="150" t="str">
        <f>IF(AND(W104="Preventivo",X104="Automático"),"50%",IF(AND(W104="Preventivo",X104="Manual"),"40%",IF(AND(W104="Detectivo",X104="Automático"),"40%",IF(AND(W104="Detectivo",X104="Manual"),"30%",IF(AND(W104="Correctivo",X104="Automático"),"35%",IF(AND(W104="Correctivo",X104="Manual"),"25%",""))))))</f>
        <v>40%</v>
      </c>
      <c r="Z104" s="169" t="s">
        <v>17</v>
      </c>
      <c r="AA104" s="170" t="s">
        <v>20</v>
      </c>
      <c r="AB104" s="171" t="s">
        <v>114</v>
      </c>
      <c r="AC104" s="145" t="s">
        <v>510</v>
      </c>
      <c r="AD104" s="164">
        <f t="shared" si="182"/>
        <v>0.36</v>
      </c>
      <c r="AE104" s="151" t="str">
        <f t="shared" si="183"/>
        <v>Baja</v>
      </c>
      <c r="AF104" s="81">
        <f t="shared" si="184"/>
        <v>0.36</v>
      </c>
      <c r="AG104" s="82" t="str">
        <f t="shared" si="171"/>
        <v>Mayor</v>
      </c>
      <c r="AH104" s="81">
        <f t="shared" si="172"/>
        <v>0.8</v>
      </c>
      <c r="AI104" s="83" t="str">
        <f t="shared" si="173"/>
        <v>Alto</v>
      </c>
      <c r="AJ104" s="411" t="str">
        <f>$AI$105</f>
        <v>Moderado</v>
      </c>
      <c r="AK104" s="401" t="s">
        <v>30</v>
      </c>
      <c r="AL104" s="388"/>
      <c r="AM104" s="388"/>
      <c r="AN104" s="397"/>
      <c r="AO104" s="403"/>
      <c r="AP104" s="388"/>
      <c r="AQ104" s="399"/>
    </row>
    <row r="105" spans="2:43" ht="102" x14ac:dyDescent="0.2">
      <c r="B105" s="425"/>
      <c r="C105" s="416"/>
      <c r="D105" s="393"/>
      <c r="E105" s="385"/>
      <c r="F105" s="387"/>
      <c r="G105" s="390"/>
      <c r="H105" s="392"/>
      <c r="I105" s="392"/>
      <c r="J105" s="387"/>
      <c r="K105" s="392"/>
      <c r="L105" s="394"/>
      <c r="M105" s="395"/>
      <c r="N105" s="427"/>
      <c r="O105" s="419"/>
      <c r="P105" s="420"/>
      <c r="Q105" s="408"/>
      <c r="R105" s="410"/>
      <c r="S105" s="422"/>
      <c r="T105" s="143">
        <v>2</v>
      </c>
      <c r="U105" s="140" t="s">
        <v>759</v>
      </c>
      <c r="V105" s="149" t="str">
        <f t="shared" si="109"/>
        <v>Probabilidad</v>
      </c>
      <c r="W105" s="168" t="s">
        <v>12</v>
      </c>
      <c r="X105" s="168" t="s">
        <v>7</v>
      </c>
      <c r="Y105" s="150" t="str">
        <f t="shared" ref="Y105" si="190">IF(AND(W105="Preventivo",X105="Automático"),"50%",IF(AND(W105="Preventivo",X105="Manual"),"40%",IF(AND(W105="Detectivo",X105="Automático"),"40%",IF(AND(W105="Detectivo",X105="Manual"),"30%",IF(AND(W105="Correctivo",X105="Automático"),"35%",IF(AND(W105="Correctivo",X105="Manual"),"25%",""))))))</f>
        <v>40%</v>
      </c>
      <c r="Z105" s="169" t="s">
        <v>17</v>
      </c>
      <c r="AA105" s="170" t="s">
        <v>20</v>
      </c>
      <c r="AB105" s="171" t="s">
        <v>114</v>
      </c>
      <c r="AC105" s="145" t="s">
        <v>511</v>
      </c>
      <c r="AD105" s="164">
        <f>IFERROR(IF(AND(V104="Probabilidad",V105="Probabilidad"),(AF104-(+AF104*Y105)),IF(V105="Probabilidad",(N104-(+N104*Y105)),IF(V105="Impacto",AF104,""))),"")</f>
        <v>0.216</v>
      </c>
      <c r="AE105" s="151" t="str">
        <f t="shared" ref="AE105" si="191">IFERROR(IF(AD105="","",IF(AD105&lt;=0.2,"Muy Baja",IF(AD105&lt;=0.4,"Baja",IF(AD105&lt;=0.6,"Media",IF(AD105&lt;=0.8,"Alta","Muy Alta"))))),"")</f>
        <v>Baja</v>
      </c>
      <c r="AF105" s="81">
        <f t="shared" ref="AF105" si="192">+AD105</f>
        <v>0.216</v>
      </c>
      <c r="AG105" s="82" t="str">
        <f t="shared" ref="AG105" si="193">IFERROR(IF(AH105="","",IF(AH105&lt;=0.2,"Leve",IF(AH105&lt;=0.4,"Menor",IF(AH105&lt;=0.6,"Moderado",IF(AH105&lt;=0.8,"Mayor","Catastrófico"))))),"")</f>
        <v>Moderado</v>
      </c>
      <c r="AH105" s="152">
        <f>IFERROR(IF(AND(V104="Impacto",V105="Impacto"),(AH103-(+AH103*Y105)),IF(V105="Impacto",($M$13-(+$M$13*Y105)),IF(V105="Probabilidad",AH103,""))),"")</f>
        <v>0.6</v>
      </c>
      <c r="AI105" s="83" t="str">
        <f t="shared" ref="AI105" si="194">IFERROR(IF(OR(AND(AE105="Muy Baja",AG105="Leve"),AND(AE105="Muy Baja",AG105="Menor"),AND(AE105="Baja",AG105="Leve")),"Bajo",IF(OR(AND(AE105="Muy baja",AG105="Moderado"),AND(AE105="Baja",AG105="Menor"),AND(AE105="Baja",AG105="Moderado"),AND(AE105="Media",AG105="Leve"),AND(AE105="Media",AG105="Menor"),AND(AE105="Media",AG105="Moderado"),AND(AE105="Alta",AG105="Leve"),AND(AE105="Alta",AG105="Menor")),"Moderado",IF(OR(AND(AE105="Muy Baja",AG105="Mayor"),AND(AE105="Baja",AG105="Mayor"),AND(AE105="Media",AG105="Mayor"),AND(AE105="Alta",AG105="Moderado"),AND(AE105="Alta",AG105="Mayor"),AND(AE105="Muy Alta",AG105="Leve"),AND(AE105="Muy Alta",AG105="Menor"),AND(AE105="Muy Alta",AG105="Moderado"),AND(AE105="Muy Alta",AG105="Mayor")),"Alto",IF(OR(AND(AE105="Muy Baja",AG105="Catastrófico"),AND(AE105="Baja",AG105="Catastrófico"),AND(AE105="Media",AG105="Catastrófico"),AND(AE105="Alta",AG105="Catastrófico"),AND(AE105="Muy Alta",AG105="Catastrófico")),"Extremo","")))),"")</f>
        <v>Moderado</v>
      </c>
      <c r="AJ105" s="412"/>
      <c r="AK105" s="402"/>
      <c r="AL105" s="396"/>
      <c r="AM105" s="396"/>
      <c r="AN105" s="398"/>
      <c r="AO105" s="404"/>
      <c r="AP105" s="396"/>
      <c r="AQ105" s="400"/>
    </row>
    <row r="106" spans="2:43" ht="120.75" customHeight="1" x14ac:dyDescent="0.2">
      <c r="B106" s="393" t="s">
        <v>551</v>
      </c>
      <c r="C106" s="213" t="s">
        <v>550</v>
      </c>
      <c r="D106" s="143">
        <v>76</v>
      </c>
      <c r="E106" s="212" t="s">
        <v>504</v>
      </c>
      <c r="F106" s="140" t="s">
        <v>507</v>
      </c>
      <c r="G106" s="136" t="s">
        <v>618</v>
      </c>
      <c r="H106" s="143" t="s">
        <v>563</v>
      </c>
      <c r="I106" s="143" t="s">
        <v>565</v>
      </c>
      <c r="J106" s="140" t="s">
        <v>118</v>
      </c>
      <c r="K106" s="143" t="s">
        <v>624</v>
      </c>
      <c r="L106" s="142">
        <v>144</v>
      </c>
      <c r="M106" s="192" t="str">
        <f>IF(L106&lt;=0,"",IF(L106&lt;=2,"Muy Baja",IF(L106&lt;=24,"Baja",IF(L106&lt;=500,"Media",IF(L106&lt;=5000,"Alta","Muy Alta")))))</f>
        <v>Media</v>
      </c>
      <c r="N106" s="189">
        <f>IF(M106="","",IF(M106="Muy Baja",0.2,IF(M106="Baja",0.4,IF(M106="Media",0.6,IF(M106="Alta",0.8,IF(M106="Muy Alta",1,))))))</f>
        <v>0.6</v>
      </c>
      <c r="O106" s="156" t="s">
        <v>146</v>
      </c>
      <c r="P106" s="153" t="s">
        <v>146</v>
      </c>
      <c r="Q106" s="209" t="str">
        <f>IF(OR(P106='Tabla Impacto'!$C$11,P106='Tabla Impacto'!$D$11),"Leve",IF(OR(P106='Tabla Impacto'!$C$12,P106='Tabla Impacto'!$D$12),"Menor",IF(OR(P106='Tabla Impacto'!$C$13,P106='Tabla Impacto'!$D$13),"Moderado",IF(OR(P106='Tabla Impacto'!$C$14,P106:P106='Tabla Impacto'!$D$14),"Mayor",IF(OR(P106='Tabla Impacto'!$C$15,P106='Tabla Impacto'!$D$15),"Catastrófico","")))))</f>
        <v>Mayor</v>
      </c>
      <c r="R106" s="189">
        <f>IF(Q106="","",IF(Q106="Leve",0.2,IF(Q106="Menor",0.4,IF(Q106="Moderado",0.6,IF(Q106="Mayor",0.8,IF(Q106="Catastrófico",1,))))))</f>
        <v>0.8</v>
      </c>
      <c r="S106" s="247" t="str">
        <f>IF(OR(AND(M106="Muy Baja",Q106="Leve"),AND(M106="Muy Baja",Q106="Menor"),AND(M106="Baja",Q106="Leve")),"Bajo",IF(OR(AND(M106="Muy baja",Q106="Moderado"),AND(M106="Baja",Q106="Menor"),AND(M106="Baja",Q106="Moderado"),AND(M106="Media",Q106="Leve"),AND(M106="Media",Q106="Menor"),AND(M106="Media",Q106="Moderado"),AND(M106="Alta",Q106="Leve"),AND(M106="Alta",Q106="Menor")),"Moderado",IF(OR(AND(M106="Muy Baja",Q106="Mayor"),AND(M106="Baja",Q106="Mayor"),AND(M106="Media",Q106="Mayor"),AND(M106="Alta",Q106="Moderado"),AND(M106="Alta",Q106="Mayor"),AND(M106="Muy Alta",Q106="Leve"),AND(M106="Muy Alta",Q106="Menor"),AND(M106="Muy Alta",Q106="Moderado"),AND(M106="Muy Alta",Q106="Mayor")),"Alto",IF(OR(AND(M106="Muy Baja",Q106="Catastrófico"),AND(M106="Baja",Q106="Catastrófico"),AND(M106="Media",Q106="Catastrófico"),AND(M106="Alta",Q106="Catastrófico"),AND(M106="Muy Alta",Q106="Catastrófico")),"Extremo",""))))</f>
        <v>Alto</v>
      </c>
      <c r="T106" s="141">
        <v>1</v>
      </c>
      <c r="U106" s="154" t="s">
        <v>755</v>
      </c>
      <c r="V106" s="146" t="str">
        <f t="shared" si="109"/>
        <v>Probabilidad</v>
      </c>
      <c r="W106" s="147" t="s">
        <v>12</v>
      </c>
      <c r="X106" s="147" t="s">
        <v>7</v>
      </c>
      <c r="Y106" s="148" t="str">
        <f>IF(AND(W106="Preventivo",X106="Automático"),"50%",IF(AND(W106="Preventivo",X106="Manual"),"40%",IF(AND(W106="Detectivo",X106="Automático"),"40%",IF(AND(W106="Detectivo",X106="Manual"),"30%",IF(AND(W106="Correctivo",X106="Automático"),"35%",IF(AND(W106="Correctivo",X106="Manual"),"25%",""))))))</f>
        <v>40%</v>
      </c>
      <c r="Z106" s="161" t="s">
        <v>17</v>
      </c>
      <c r="AA106" s="162" t="s">
        <v>20</v>
      </c>
      <c r="AB106" s="163" t="s">
        <v>114</v>
      </c>
      <c r="AC106" s="145" t="s">
        <v>552</v>
      </c>
      <c r="AD106" s="164">
        <f>IFERROR(IF(V106="Probabilidad",(N106-(+N106*Y106)),IF(V106="Impacto",N106,"")),"")</f>
        <v>0.36</v>
      </c>
      <c r="AE106" s="165" t="str">
        <f>IFERROR(IF(AD106="","",IF(AD106&lt;=0.2,"Muy Baja",IF(AD106&lt;=0.4,"Baja",IF(AD106&lt;=0.6,"Media",IF(AD106&lt;=0.8,"Alta","Muy Alta"))))),"")</f>
        <v>Baja</v>
      </c>
      <c r="AF106" s="148">
        <f>+AD106</f>
        <v>0.36</v>
      </c>
      <c r="AG106" s="166" t="str">
        <f>IFERROR(IF(AH106="","",IF(AH106&lt;=0.2,"Leve",IF(AH106&lt;=0.4,"Menor",IF(AH106&lt;=0.6,"Moderado",IF(AH106&lt;=0.8,"Mayor","Catastrófico"))))),"")</f>
        <v>Mayor</v>
      </c>
      <c r="AH106" s="148">
        <f>IFERROR(IF(V106="Impacto",(R106-(+R106*Y106)),IF(V106="Probabilidad",R106,"")),"")</f>
        <v>0.8</v>
      </c>
      <c r="AI106" s="167" t="str">
        <f>IFERROR(IF(OR(AND(AE106="Muy Baja",AG106="Leve"),AND(AE106="Muy Baja",AG106="Menor"),AND(AE106="Baja",AG106="Leve")),"Bajo",IF(OR(AND(AE106="Muy baja",AG106="Moderado"),AND(AE106="Baja",AG106="Menor"),AND(AE106="Baja",AG106="Moderado"),AND(AE106="Media",AG106="Leve"),AND(AE106="Media",AG106="Menor"),AND(AE106="Media",AG106="Moderado"),AND(AE106="Alta",AG106="Leve"),AND(AE106="Alta",AG106="Menor")),"Moderado",IF(OR(AND(AE106="Muy Baja",AG106="Mayor"),AND(AE106="Baja",AG106="Mayor"),AND(AE106="Media",AG106="Mayor"),AND(AE106="Alta",AG106="Moderado"),AND(AE106="Alta",AG106="Mayor"),AND(AE106="Muy Alta",AG106="Leve"),AND(AE106="Muy Alta",AG106="Menor"),AND(AE106="Muy Alta",AG106="Moderado"),AND(AE106="Muy Alta",AG106="Mayor")),"Alto",IF(OR(AND(AE106="Muy Baja",AG106="Catastrófico"),AND(AE106="Baja",AG106="Catastrófico"),AND(AE106="Media",AG106="Catastrófico"),AND(AE106="Alta",AG106="Catastrófico"),AND(AE106="Muy Alta",AG106="Catastrófico")),"Extremo","")))),"")</f>
        <v>Alto</v>
      </c>
      <c r="AJ106" s="167" t="str">
        <f>$AI$106</f>
        <v>Alto</v>
      </c>
      <c r="AK106" s="234" t="s">
        <v>129</v>
      </c>
      <c r="AL106" s="144" t="s">
        <v>645</v>
      </c>
      <c r="AM106" s="233" t="s">
        <v>646</v>
      </c>
      <c r="AN106" s="239" t="s">
        <v>627</v>
      </c>
      <c r="AO106" s="243" t="s">
        <v>407</v>
      </c>
      <c r="AP106" s="145" t="s">
        <v>552</v>
      </c>
      <c r="AQ106" s="142" t="s">
        <v>38</v>
      </c>
    </row>
    <row r="107" spans="2:43" ht="76.5" x14ac:dyDescent="0.2">
      <c r="B107" s="393"/>
      <c r="C107" s="416" t="s">
        <v>550</v>
      </c>
      <c r="D107" s="393">
        <v>77</v>
      </c>
      <c r="E107" s="385" t="s">
        <v>514</v>
      </c>
      <c r="F107" s="387" t="s">
        <v>508</v>
      </c>
      <c r="G107" s="389" t="s">
        <v>617</v>
      </c>
      <c r="H107" s="391" t="s">
        <v>563</v>
      </c>
      <c r="I107" s="391" t="s">
        <v>565</v>
      </c>
      <c r="J107" s="387" t="s">
        <v>118</v>
      </c>
      <c r="K107" s="391" t="s">
        <v>624</v>
      </c>
      <c r="L107" s="394">
        <v>40</v>
      </c>
      <c r="M107" s="417" t="str">
        <f>IF(L107&lt;=0,"",IF(L107&lt;=2,"Muy Baja",IF(L107&lt;=24,"Baja",IF(L107&lt;=500,"Media",IF(L107&lt;=5000,"Alta","Muy Alta")))))</f>
        <v>Media</v>
      </c>
      <c r="N107" s="409">
        <f>IF(M107="","",IF(M107="Muy Baja",0.2,IF(M107="Baja",0.4,IF(M107="Media",0.6,IF(M107="Alta",0.8,IF(M107="Muy Alta",1,))))))</f>
        <v>0.6</v>
      </c>
      <c r="O107" s="418" t="s">
        <v>146</v>
      </c>
      <c r="P107" s="420" t="s">
        <v>146</v>
      </c>
      <c r="Q107" s="407" t="str">
        <f>IF(OR(P107='Tabla Impacto'!$C$11,P107='Tabla Impacto'!$D$11),"Leve",IF(OR(P107='Tabla Impacto'!$C$12,P107='Tabla Impacto'!$D$12),"Menor",IF(OR(P107='Tabla Impacto'!$C$13,P107='Tabla Impacto'!$D$13),"Moderado",IF(OR(P107='Tabla Impacto'!$C$14,P107:P107='Tabla Impacto'!$D$14),"Mayor",IF(OR(P107='Tabla Impacto'!$C$15,P107='Tabla Impacto'!$D$15),"Catastrófico","")))))</f>
        <v>Mayor</v>
      </c>
      <c r="R107" s="409">
        <f>IF(Q107="","",IF(Q107="Leve",0.2,IF(Q107="Menor",0.4,IF(Q107="Moderado",0.6,IF(Q107="Mayor",0.8,IF(Q107="Catastrófico",1,))))))</f>
        <v>0.8</v>
      </c>
      <c r="S107" s="421" t="str">
        <f>IF(OR(AND(M107="Muy Baja",Q107="Leve"),AND(M107="Muy Baja",Q107="Menor"),AND(M107="Baja",Q107="Leve")),"Bajo",IF(OR(AND(M107="Muy baja",Q107="Moderado"),AND(M107="Baja",Q107="Menor"),AND(M107="Baja",Q107="Moderado"),AND(M107="Media",Q107="Leve"),AND(M107="Media",Q107="Menor"),AND(M107="Media",Q107="Moderado"),AND(M107="Alta",Q107="Leve"),AND(M107="Alta",Q107="Menor")),"Moderado",IF(OR(AND(M107="Muy Baja",Q107="Mayor"),AND(M107="Baja",Q107="Mayor"),AND(M107="Media",Q107="Mayor"),AND(M107="Alta",Q107="Moderado"),AND(M107="Alta",Q107="Mayor"),AND(M107="Muy Alta",Q107="Leve"),AND(M107="Muy Alta",Q107="Menor"),AND(M107="Muy Alta",Q107="Moderado"),AND(M107="Muy Alta",Q107="Mayor")),"Alto",IF(OR(AND(M107="Muy Baja",Q107="Catastrófico"),AND(M107="Baja",Q107="Catastrófico"),AND(M107="Media",Q107="Catastrófico"),AND(M107="Alta",Q107="Catastrófico"),AND(M107="Muy Alta",Q107="Catastrófico")),"Extremo",""))))</f>
        <v>Alto</v>
      </c>
      <c r="T107" s="143">
        <v>1</v>
      </c>
      <c r="U107" s="140" t="s">
        <v>757</v>
      </c>
      <c r="V107" s="149" t="str">
        <f t="shared" si="109"/>
        <v>Probabilidad</v>
      </c>
      <c r="W107" s="168" t="s">
        <v>12</v>
      </c>
      <c r="X107" s="168" t="s">
        <v>7</v>
      </c>
      <c r="Y107" s="150" t="str">
        <f>IF(AND(W107="Preventivo",X107="Automático"),"50%",IF(AND(W107="Preventivo",X107="Manual"),"40%",IF(AND(W107="Detectivo",X107="Automático"),"40%",IF(AND(W107="Detectivo",X107="Manual"),"30%",IF(AND(W107="Correctivo",X107="Automático"),"35%",IF(AND(W107="Correctivo",X107="Manual"),"25%",""))))))</f>
        <v>40%</v>
      </c>
      <c r="Z107" s="169" t="s">
        <v>17</v>
      </c>
      <c r="AA107" s="170" t="s">
        <v>20</v>
      </c>
      <c r="AB107" s="171" t="s">
        <v>114</v>
      </c>
      <c r="AC107" s="145" t="s">
        <v>510</v>
      </c>
      <c r="AD107" s="164">
        <f>IFERROR(IF(V107="Probabilidad",(N107-(+N107*Y107)),IF(V107="Impacto",N107,"")),"")</f>
        <v>0.36</v>
      </c>
      <c r="AE107" s="151" t="str">
        <f>IFERROR(IF(AD107="","",IF(AD107&lt;=0.2,"Muy Baja",IF(AD107&lt;=0.4,"Baja",IF(AD107&lt;=0.6,"Media",IF(AD107&lt;=0.8,"Alta","Muy Alta"))))),"")</f>
        <v>Baja</v>
      </c>
      <c r="AF107" s="81">
        <f>+AD107</f>
        <v>0.36</v>
      </c>
      <c r="AG107" s="82" t="str">
        <f>IFERROR(IF(AH107="","",IF(AH107&lt;=0.2,"Leve",IF(AH107&lt;=0.4,"Menor",IF(AH107&lt;=0.6,"Moderado",IF(AH107&lt;=0.8,"Mayor","Catastrófico"))))),"")</f>
        <v>Mayor</v>
      </c>
      <c r="AH107" s="81">
        <f>IFERROR(IF(V107="Impacto",(R107-(+R107*Y107)),IF(V107="Probabilidad",R107,"")),"")</f>
        <v>0.8</v>
      </c>
      <c r="AI107" s="83" t="str">
        <f>IFERROR(IF(OR(AND(AE107="Muy Baja",AG107="Leve"),AND(AE107="Muy Baja",AG107="Menor"),AND(AE107="Baja",AG107="Leve")),"Bajo",IF(OR(AND(AE107="Muy baja",AG107="Moderado"),AND(AE107="Baja",AG107="Menor"),AND(AE107="Baja",AG107="Moderado"),AND(AE107="Media",AG107="Leve"),AND(AE107="Media",AG107="Menor"),AND(AE107="Media",AG107="Moderado"),AND(AE107="Alta",AG107="Leve"),AND(AE107="Alta",AG107="Menor")),"Moderado",IF(OR(AND(AE107="Muy Baja",AG107="Mayor"),AND(AE107="Baja",AG107="Mayor"),AND(AE107="Media",AG107="Mayor"),AND(AE107="Alta",AG107="Moderado"),AND(AE107="Alta",AG107="Mayor"),AND(AE107="Muy Alta",AG107="Leve"),AND(AE107="Muy Alta",AG107="Menor"),AND(AE107="Muy Alta",AG107="Moderado"),AND(AE107="Muy Alta",AG107="Mayor")),"Alto",IF(OR(AND(AE107="Muy Baja",AG107="Catastrófico"),AND(AE107="Baja",AG107="Catastrófico"),AND(AE107="Media",AG107="Catastrófico"),AND(AE107="Alta",AG107="Catastrófico"),AND(AE107="Muy Alta",AG107="Catastrófico")),"Extremo","")))),"")</f>
        <v>Alto</v>
      </c>
      <c r="AJ107" s="411" t="str">
        <f>$AI$108</f>
        <v>Alto</v>
      </c>
      <c r="AK107" s="401" t="s">
        <v>129</v>
      </c>
      <c r="AL107" s="388" t="s">
        <v>647</v>
      </c>
      <c r="AM107" s="388" t="s">
        <v>512</v>
      </c>
      <c r="AN107" s="397" t="s">
        <v>627</v>
      </c>
      <c r="AO107" s="403" t="s">
        <v>407</v>
      </c>
      <c r="AP107" s="388" t="s">
        <v>513</v>
      </c>
      <c r="AQ107" s="399" t="s">
        <v>38</v>
      </c>
    </row>
    <row r="108" spans="2:43" ht="102" x14ac:dyDescent="0.2">
      <c r="B108" s="393"/>
      <c r="C108" s="416"/>
      <c r="D108" s="393"/>
      <c r="E108" s="385"/>
      <c r="F108" s="387"/>
      <c r="G108" s="390"/>
      <c r="H108" s="392"/>
      <c r="I108" s="392"/>
      <c r="J108" s="387"/>
      <c r="K108" s="392"/>
      <c r="L108" s="394"/>
      <c r="M108" s="417"/>
      <c r="N108" s="410"/>
      <c r="O108" s="419"/>
      <c r="P108" s="420"/>
      <c r="Q108" s="408"/>
      <c r="R108" s="410"/>
      <c r="S108" s="422"/>
      <c r="T108" s="143">
        <v>2</v>
      </c>
      <c r="U108" s="140" t="s">
        <v>759</v>
      </c>
      <c r="V108" s="149" t="str">
        <f t="shared" si="109"/>
        <v>Probabilidad</v>
      </c>
      <c r="W108" s="168" t="s">
        <v>12</v>
      </c>
      <c r="X108" s="168" t="s">
        <v>7</v>
      </c>
      <c r="Y108" s="150" t="str">
        <f t="shared" ref="Y108" si="195">IF(AND(W108="Preventivo",X108="Automático"),"50%",IF(AND(W108="Preventivo",X108="Manual"),"40%",IF(AND(W108="Detectivo",X108="Automático"),"40%",IF(AND(W108="Detectivo",X108="Manual"),"30%",IF(AND(W108="Correctivo",X108="Automático"),"35%",IF(AND(W108="Correctivo",X108="Manual"),"25%",""))))))</f>
        <v>40%</v>
      </c>
      <c r="Z108" s="169" t="s">
        <v>17</v>
      </c>
      <c r="AA108" s="170" t="s">
        <v>20</v>
      </c>
      <c r="AB108" s="171" t="s">
        <v>114</v>
      </c>
      <c r="AC108" s="145" t="s">
        <v>511</v>
      </c>
      <c r="AD108" s="164">
        <f>IFERROR(IF(AND(V107="Probabilidad",V108="Probabilidad"),(AF107-(+AF107*Y108)),IF(V108="Probabilidad",(N107-(+N107*Y108)),IF(V108="Impacto",AF107,""))),"")</f>
        <v>0.216</v>
      </c>
      <c r="AE108" s="151" t="str">
        <f t="shared" ref="AE108" si="196">IFERROR(IF(AD108="","",IF(AD108&lt;=0.2,"Muy Baja",IF(AD108&lt;=0.4,"Baja",IF(AD108&lt;=0.6,"Media",IF(AD108&lt;=0.8,"Alta","Muy Alta"))))),"")</f>
        <v>Baja</v>
      </c>
      <c r="AF108" s="81">
        <f t="shared" ref="AF108" si="197">+AD108</f>
        <v>0.216</v>
      </c>
      <c r="AG108" s="82" t="str">
        <f t="shared" ref="AG108" si="198">IFERROR(IF(AH108="","",IF(AH108&lt;=0.2,"Leve",IF(AH108&lt;=0.4,"Menor",IF(AH108&lt;=0.6,"Moderado",IF(AH108&lt;=0.8,"Mayor","Catastrófico"))))),"")</f>
        <v>Mayor</v>
      </c>
      <c r="AH108" s="152">
        <f>IFERROR(IF(AND(V107="Impacto",V108="Impacto"),(AH106-(+AH106*Y108)),IF(V108="Impacto",($M$13-(+$M$13*Y108)),IF(V108="Probabilidad",AH106,""))),"")</f>
        <v>0.8</v>
      </c>
      <c r="AI108" s="83" t="str">
        <f t="shared" ref="AI108" si="199">IFERROR(IF(OR(AND(AE108="Muy Baja",AG108="Leve"),AND(AE108="Muy Baja",AG108="Menor"),AND(AE108="Baja",AG108="Leve")),"Bajo",IF(OR(AND(AE108="Muy baja",AG108="Moderado"),AND(AE108="Baja",AG108="Menor"),AND(AE108="Baja",AG108="Moderado"),AND(AE108="Media",AG108="Leve"),AND(AE108="Media",AG108="Menor"),AND(AE108="Media",AG108="Moderado"),AND(AE108="Alta",AG108="Leve"),AND(AE108="Alta",AG108="Menor")),"Moderado",IF(OR(AND(AE108="Muy Baja",AG108="Mayor"),AND(AE108="Baja",AG108="Mayor"),AND(AE108="Media",AG108="Mayor"),AND(AE108="Alta",AG108="Moderado"),AND(AE108="Alta",AG108="Mayor"),AND(AE108="Muy Alta",AG108="Leve"),AND(AE108="Muy Alta",AG108="Menor"),AND(AE108="Muy Alta",AG108="Moderado"),AND(AE108="Muy Alta",AG108="Mayor")),"Alto",IF(OR(AND(AE108="Muy Baja",AG108="Catastrófico"),AND(AE108="Baja",AG108="Catastrófico"),AND(AE108="Media",AG108="Catastrófico"),AND(AE108="Alta",AG108="Catastrófico"),AND(AE108="Muy Alta",AG108="Catastrófico")),"Extremo","")))),"")</f>
        <v>Alto</v>
      </c>
      <c r="AJ108" s="412"/>
      <c r="AK108" s="402"/>
      <c r="AL108" s="396"/>
      <c r="AM108" s="396"/>
      <c r="AN108" s="398"/>
      <c r="AO108" s="404"/>
      <c r="AP108" s="396"/>
      <c r="AQ108" s="400"/>
    </row>
    <row r="109" spans="2:43" ht="90.75" customHeight="1" x14ac:dyDescent="0.2">
      <c r="B109" s="393" t="s">
        <v>556</v>
      </c>
      <c r="C109" s="232" t="s">
        <v>557</v>
      </c>
      <c r="D109" s="143">
        <v>78</v>
      </c>
      <c r="E109" s="212" t="s">
        <v>553</v>
      </c>
      <c r="F109" s="140" t="s">
        <v>555</v>
      </c>
      <c r="G109" s="136" t="s">
        <v>618</v>
      </c>
      <c r="H109" s="143" t="s">
        <v>563</v>
      </c>
      <c r="I109" s="220" t="s">
        <v>565</v>
      </c>
      <c r="J109" s="254" t="s">
        <v>118</v>
      </c>
      <c r="K109" s="220" t="s">
        <v>624</v>
      </c>
      <c r="L109" s="255">
        <v>216</v>
      </c>
      <c r="M109" s="215" t="str">
        <f>IF(L109&lt;=0,"",IF(L109&lt;=2,"Muy Baja",IF(L109&lt;=24,"Baja",IF(L109&lt;=500,"Media",IF(L109&lt;=5000,"Alta","Muy Alta")))))</f>
        <v>Media</v>
      </c>
      <c r="N109" s="201">
        <f>IF(M109="","",IF(M109="Muy Baja",0.2,IF(M109="Baja",0.4,IF(M109="Media",0.6,IF(M109="Alta",0.8,IF(M109="Muy Alta",1,))))))</f>
        <v>0.6</v>
      </c>
      <c r="O109" s="156" t="s">
        <v>145</v>
      </c>
      <c r="P109" s="257" t="s">
        <v>145</v>
      </c>
      <c r="Q109" s="209" t="str">
        <f>IF(OR(P109='Tabla Impacto'!$C$11,P109='Tabla Impacto'!$D$11),"Leve",IF(OR(P109='Tabla Impacto'!$C$12,P109='Tabla Impacto'!$D$12),"Menor",IF(OR(P109='Tabla Impacto'!$C$13,P109='Tabla Impacto'!$D$13),"Moderado",IF(OR(P109='Tabla Impacto'!$C$14,P109:P109='Tabla Impacto'!$D$14),"Mayor",IF(OR(P109='Tabla Impacto'!$C$15,P109='Tabla Impacto'!$D$15),"Catastrófico","")))))</f>
        <v>Moderado</v>
      </c>
      <c r="R109" s="189">
        <f>IF(Q109="","",IF(Q109="Leve",0.2,IF(Q109="Menor",0.4,IF(Q109="Moderado",0.6,IF(Q109="Mayor",0.8,IF(Q109="Catastrófico",1,))))))</f>
        <v>0.6</v>
      </c>
      <c r="S109" s="247" t="str">
        <f>IF(OR(AND(M109="Muy Baja",Q109="Leve"),AND(M109="Muy Baja",Q109="Menor"),AND(M109="Baja",Q109="Leve")),"Bajo",IF(OR(AND(M109="Muy baja",Q109="Moderado"),AND(M109="Baja",Q109="Menor"),AND(M109="Baja",Q109="Moderado"),AND(M109="Media",Q109="Leve"),AND(M109="Media",Q109="Menor"),AND(M109="Media",Q109="Moderado"),AND(M109="Alta",Q109="Leve"),AND(M109="Alta",Q109="Menor")),"Moderado",IF(OR(AND(M109="Muy Baja",Q109="Mayor"),AND(M109="Baja",Q109="Mayor"),AND(M109="Media",Q109="Mayor"),AND(M109="Alta",Q109="Moderado"),AND(M109="Alta",Q109="Mayor"),AND(M109="Muy Alta",Q109="Leve"),AND(M109="Muy Alta",Q109="Menor"),AND(M109="Muy Alta",Q109="Moderado"),AND(M109="Muy Alta",Q109="Mayor")),"Alto",IF(OR(AND(M109="Muy Baja",Q109="Catastrófico"),AND(M109="Baja",Q109="Catastrófico"),AND(M109="Media",Q109="Catastrófico"),AND(M109="Alta",Q109="Catastrófico"),AND(M109="Muy Alta",Q109="Catastrófico")),"Extremo",""))))</f>
        <v>Moderado</v>
      </c>
      <c r="T109" s="298">
        <v>1</v>
      </c>
      <c r="U109" s="154" t="s">
        <v>755</v>
      </c>
      <c r="V109" s="299" t="str">
        <f t="shared" si="109"/>
        <v>Probabilidad</v>
      </c>
      <c r="W109" s="263" t="s">
        <v>12</v>
      </c>
      <c r="X109" s="263" t="s">
        <v>7</v>
      </c>
      <c r="Y109" s="300" t="str">
        <f>IF(AND(W109="Preventivo",X109="Automático"),"50%",IF(AND(W109="Preventivo",X109="Manual"),"40%",IF(AND(W109="Detectivo",X109="Automático"),"40%",IF(AND(W109="Detectivo",X109="Manual"),"30%",IF(AND(W109="Correctivo",X109="Automático"),"35%",IF(AND(W109="Correctivo",X109="Manual"),"25%",""))))))</f>
        <v>40%</v>
      </c>
      <c r="Z109" s="161" t="s">
        <v>17</v>
      </c>
      <c r="AA109" s="162" t="s">
        <v>20</v>
      </c>
      <c r="AB109" s="163" t="s">
        <v>114</v>
      </c>
      <c r="AC109" s="145" t="s">
        <v>509</v>
      </c>
      <c r="AD109" s="164">
        <f>IFERROR(IF(V109="Probabilidad",(N109-(+N109*Y109)),IF(V109="Impacto",N109,"")),"")</f>
        <v>0.36</v>
      </c>
      <c r="AE109" s="165" t="str">
        <f>IFERROR(IF(AD109="","",IF(AD109&lt;=0.2,"Muy Baja",IF(AD109&lt;=0.4,"Baja",IF(AD109&lt;=0.6,"Media",IF(AD109&lt;=0.8,"Alta","Muy Alta"))))),"")</f>
        <v>Baja</v>
      </c>
      <c r="AF109" s="148">
        <f>+AD109</f>
        <v>0.36</v>
      </c>
      <c r="AG109" s="166" t="str">
        <f>IFERROR(IF(AH109="","",IF(AH109&lt;=0.2,"Leve",IF(AH109&lt;=0.4,"Menor",IF(AH109&lt;=0.6,"Moderado",IF(AH109&lt;=0.8,"Mayor","Catastrófico"))))),"")</f>
        <v>Moderado</v>
      </c>
      <c r="AH109" s="148">
        <f>IFERROR(IF(V109="Impacto",(R109-(+R109*Y109)),IF(V109="Probabilidad",R109,"")),"")</f>
        <v>0.6</v>
      </c>
      <c r="AI109" s="167" t="str">
        <f>IFERROR(IF(OR(AND(AE109="Muy Baja",AG109="Leve"),AND(AE109="Muy Baja",AG109="Menor"),AND(AE109="Baja",AG109="Leve")),"Bajo",IF(OR(AND(AE109="Muy baja",AG109="Moderado"),AND(AE109="Baja",AG109="Menor"),AND(AE109="Baja",AG109="Moderado"),AND(AE109="Media",AG109="Leve"),AND(AE109="Media",AG109="Menor"),AND(AE109="Media",AG109="Moderado"),AND(AE109="Alta",AG109="Leve"),AND(AE109="Alta",AG109="Menor")),"Moderado",IF(OR(AND(AE109="Muy Baja",AG109="Mayor"),AND(AE109="Baja",AG109="Mayor"),AND(AE109="Media",AG109="Mayor"),AND(AE109="Alta",AG109="Moderado"),AND(AE109="Alta",AG109="Mayor"),AND(AE109="Muy Alta",AG109="Leve"),AND(AE109="Muy Alta",AG109="Menor"),AND(AE109="Muy Alta",AG109="Moderado"),AND(AE109="Muy Alta",AG109="Mayor")),"Alto",IF(OR(AND(AE109="Muy Baja",AG109="Catastrófico"),AND(AE109="Baja",AG109="Catastrófico"),AND(AE109="Media",AG109="Catastrófico"),AND(AE109="Alta",AG109="Catastrófico"),AND(AE109="Muy Alta",AG109="Catastrófico")),"Extremo","")))),"")</f>
        <v>Moderado</v>
      </c>
      <c r="AJ109" s="83" t="str">
        <f>$AI$109</f>
        <v>Moderado</v>
      </c>
      <c r="AK109" s="147" t="s">
        <v>30</v>
      </c>
      <c r="AL109" s="144"/>
      <c r="AM109" s="144"/>
      <c r="AN109" s="181"/>
      <c r="AO109" s="181"/>
      <c r="AP109" s="144"/>
      <c r="AQ109" s="183"/>
    </row>
    <row r="110" spans="2:43" ht="76.5" x14ac:dyDescent="0.2">
      <c r="B110" s="393"/>
      <c r="C110" s="414" t="s">
        <v>557</v>
      </c>
      <c r="D110" s="393">
        <v>79</v>
      </c>
      <c r="E110" s="385" t="s">
        <v>554</v>
      </c>
      <c r="F110" s="387" t="s">
        <v>508</v>
      </c>
      <c r="G110" s="389" t="s">
        <v>617</v>
      </c>
      <c r="H110" s="391" t="s">
        <v>563</v>
      </c>
      <c r="I110" s="393" t="s">
        <v>565</v>
      </c>
      <c r="J110" s="387" t="s">
        <v>118</v>
      </c>
      <c r="K110" s="393" t="s">
        <v>624</v>
      </c>
      <c r="L110" s="394">
        <v>39</v>
      </c>
      <c r="M110" s="395" t="str">
        <f>IF(L110&lt;=0,"",IF(L110&lt;=2,"Muy Baja",IF(L110&lt;=24,"Baja",IF(L110&lt;=500,"Media",IF(L110&lt;=5000,"Alta","Muy Alta")))))</f>
        <v>Media</v>
      </c>
      <c r="N110" s="405">
        <f>IF(M110="","",IF(M110="Muy Baja",0.2,IF(M110="Baja",0.4,IF(M110="Media",0.6,IF(M110="Alta",0.8,IF(M110="Muy Alta",1,))))))</f>
        <v>0.6</v>
      </c>
      <c r="O110" s="406" t="s">
        <v>146</v>
      </c>
      <c r="P110" s="405" t="s">
        <v>146</v>
      </c>
      <c r="Q110" s="395" t="str">
        <f>IF(OR(P110='Tabla Impacto'!$C$11,P110='Tabla Impacto'!$D$11),"Leve",IF(OR(P110='Tabla Impacto'!$C$12,P110='Tabla Impacto'!$D$12),"Menor",IF(OR(P110='Tabla Impacto'!$C$13,P110='Tabla Impacto'!$D$13),"Moderado",IF(OR(P110='Tabla Impacto'!$C$14,P110:P110='Tabla Impacto'!$D$14),"Mayor",IF(OR(P110='Tabla Impacto'!$C$15,P110='Tabla Impacto'!$D$15),"Catastrófico","")))))</f>
        <v>Mayor</v>
      </c>
      <c r="R110" s="405">
        <f>IF(Q110="","",IF(Q110="Leve",0.2,IF(Q110="Menor",0.4,IF(Q110="Moderado",0.6,IF(Q110="Mayor",0.8,IF(Q110="Catastrófico",1,))))))</f>
        <v>0.8</v>
      </c>
      <c r="S110" s="384" t="str">
        <f>IF(OR(AND(M110="Muy Baja",Q110="Leve"),AND(M110="Muy Baja",Q110="Menor"),AND(M110="Baja",Q110="Leve")),"Bajo",IF(OR(AND(M110="Muy baja",Q110="Moderado"),AND(M110="Baja",Q110="Menor"),AND(M110="Baja",Q110="Moderado"),AND(M110="Media",Q110="Leve"),AND(M110="Media",Q110="Menor"),AND(M110="Media",Q110="Moderado"),AND(M110="Alta",Q110="Leve"),AND(M110="Alta",Q110="Menor")),"Moderado",IF(OR(AND(M110="Muy Baja",Q110="Mayor"),AND(M110="Baja",Q110="Mayor"),AND(M110="Media",Q110="Mayor"),AND(M110="Alta",Q110="Moderado"),AND(M110="Alta",Q110="Mayor"),AND(M110="Muy Alta",Q110="Leve"),AND(M110="Muy Alta",Q110="Menor"),AND(M110="Muy Alta",Q110="Moderado"),AND(M110="Muy Alta",Q110="Mayor")),"Alto",IF(OR(AND(M110="Muy Baja",Q110="Catastrófico"),AND(M110="Baja",Q110="Catastrófico"),AND(M110="Media",Q110="Catastrófico"),AND(M110="Alta",Q110="Catastrófico"),AND(M110="Muy Alta",Q110="Catastrófico")),"Extremo",""))))</f>
        <v>Alto</v>
      </c>
      <c r="T110" s="143">
        <v>1</v>
      </c>
      <c r="U110" s="140" t="s">
        <v>757</v>
      </c>
      <c r="V110" s="124" t="str">
        <f t="shared" si="109"/>
        <v>Probabilidad</v>
      </c>
      <c r="W110" s="125" t="s">
        <v>12</v>
      </c>
      <c r="X110" s="125" t="s">
        <v>7</v>
      </c>
      <c r="Y110" s="81" t="str">
        <f>IF(AND(W110="Preventivo",X110="Automático"),"50%",IF(AND(W110="Preventivo",X110="Manual"),"40%",IF(AND(W110="Detectivo",X110="Automático"),"40%",IF(AND(W110="Detectivo",X110="Manual"),"30%",IF(AND(W110="Correctivo",X110="Automático"),"35%",IF(AND(W110="Correctivo",X110="Manual"),"25%",""))))))</f>
        <v>40%</v>
      </c>
      <c r="Z110" s="169" t="s">
        <v>17</v>
      </c>
      <c r="AA110" s="170" t="s">
        <v>20</v>
      </c>
      <c r="AB110" s="171" t="s">
        <v>114</v>
      </c>
      <c r="AC110" s="145" t="s">
        <v>510</v>
      </c>
      <c r="AD110" s="164">
        <f>IFERROR(IF(V110="Probabilidad",(N110-(+N110*Y110)),IF(V110="Impacto",N110,"")),"")</f>
        <v>0.36</v>
      </c>
      <c r="AE110" s="151" t="str">
        <f>IFERROR(IF(AD110="","",IF(AD110&lt;=0.2,"Muy Baja",IF(AD110&lt;=0.4,"Baja",IF(AD110&lt;=0.6,"Media",IF(AD110&lt;=0.8,"Alta","Muy Alta"))))),"")</f>
        <v>Baja</v>
      </c>
      <c r="AF110" s="81">
        <f>+AD110</f>
        <v>0.36</v>
      </c>
      <c r="AG110" s="82" t="str">
        <f>IFERROR(IF(AH110="","",IF(AH110&lt;=0.2,"Leve",IF(AH110&lt;=0.4,"Menor",IF(AH110&lt;=0.6,"Moderado",IF(AH110&lt;=0.8,"Mayor","Catastrófico"))))),"")</f>
        <v>Mayor</v>
      </c>
      <c r="AH110" s="81">
        <f>IFERROR(IF(V110="Impacto",(R110-(+R110*Y110)),IF(V110="Probabilidad",R110,"")),"")</f>
        <v>0.8</v>
      </c>
      <c r="AI110" s="83" t="str">
        <f>IFERROR(IF(OR(AND(AE110="Muy Baja",AG110="Leve"),AND(AE110="Muy Baja",AG110="Menor"),AND(AE110="Baja",AG110="Leve")),"Bajo",IF(OR(AND(AE110="Muy baja",AG110="Moderado"),AND(AE110="Baja",AG110="Menor"),AND(AE110="Baja",AG110="Moderado"),AND(AE110="Media",AG110="Leve"),AND(AE110="Media",AG110="Menor"),AND(AE110="Media",AG110="Moderado"),AND(AE110="Alta",AG110="Leve"),AND(AE110="Alta",AG110="Menor")),"Moderado",IF(OR(AND(AE110="Muy Baja",AG110="Mayor"),AND(AE110="Baja",AG110="Mayor"),AND(AE110="Media",AG110="Mayor"),AND(AE110="Alta",AG110="Moderado"),AND(AE110="Alta",AG110="Mayor"),AND(AE110="Muy Alta",AG110="Leve"),AND(AE110="Muy Alta",AG110="Menor"),AND(AE110="Muy Alta",AG110="Moderado"),AND(AE110="Muy Alta",AG110="Mayor")),"Alto",IF(OR(AND(AE110="Muy Baja",AG110="Catastrófico"),AND(AE110="Baja",AG110="Catastrófico"),AND(AE110="Media",AG110="Catastrófico"),AND(AE110="Alta",AG110="Catastrófico"),AND(AE110="Muy Alta",AG110="Catastrófico")),"Extremo","")))),"")</f>
        <v>Alto</v>
      </c>
      <c r="AJ110" s="413" t="str">
        <f>$AI$111</f>
        <v>Moderado</v>
      </c>
      <c r="AK110" s="401" t="s">
        <v>30</v>
      </c>
      <c r="AL110" s="388"/>
      <c r="AM110" s="388"/>
      <c r="AN110" s="403"/>
      <c r="AO110" s="403"/>
      <c r="AP110" s="388"/>
      <c r="AQ110" s="399"/>
    </row>
    <row r="111" spans="2:43" ht="102" x14ac:dyDescent="0.2">
      <c r="B111" s="391"/>
      <c r="C111" s="415"/>
      <c r="D111" s="393"/>
      <c r="E111" s="386"/>
      <c r="F111" s="388"/>
      <c r="G111" s="390"/>
      <c r="H111" s="392"/>
      <c r="I111" s="393"/>
      <c r="J111" s="387"/>
      <c r="K111" s="393"/>
      <c r="L111" s="394"/>
      <c r="M111" s="395"/>
      <c r="N111" s="405"/>
      <c r="O111" s="406"/>
      <c r="P111" s="405"/>
      <c r="Q111" s="395"/>
      <c r="R111" s="405"/>
      <c r="S111" s="384"/>
      <c r="T111" s="143">
        <v>2</v>
      </c>
      <c r="U111" s="140" t="s">
        <v>759</v>
      </c>
      <c r="V111" s="124" t="str">
        <f t="shared" si="109"/>
        <v>Probabilidad</v>
      </c>
      <c r="W111" s="125" t="s">
        <v>12</v>
      </c>
      <c r="X111" s="125" t="s">
        <v>7</v>
      </c>
      <c r="Y111" s="81" t="str">
        <f t="shared" ref="Y111" si="200">IF(AND(W111="Preventivo",X111="Automático"),"50%",IF(AND(W111="Preventivo",X111="Manual"),"40%",IF(AND(W111="Detectivo",X111="Automático"),"40%",IF(AND(W111="Detectivo",X111="Manual"),"30%",IF(AND(W111="Correctivo",X111="Automático"),"35%",IF(AND(W111="Correctivo",X111="Manual"),"25%",""))))))</f>
        <v>40%</v>
      </c>
      <c r="Z111" s="169" t="s">
        <v>17</v>
      </c>
      <c r="AA111" s="170" t="s">
        <v>20</v>
      </c>
      <c r="AB111" s="171" t="s">
        <v>114</v>
      </c>
      <c r="AC111" s="145" t="s">
        <v>511</v>
      </c>
      <c r="AD111" s="164">
        <f>IFERROR(IF(AND(V110="Probabilidad",V111="Probabilidad"),(AF110-(+AF110*Y111)),IF(V111="Probabilidad",(N110-(+N110*Y111)),IF(V111="Impacto",AF110,""))),"")</f>
        <v>0.216</v>
      </c>
      <c r="AE111" s="151" t="str">
        <f t="shared" ref="AE111" si="201">IFERROR(IF(AD111="","",IF(AD111&lt;=0.2,"Muy Baja",IF(AD111&lt;=0.4,"Baja",IF(AD111&lt;=0.6,"Media",IF(AD111&lt;=0.8,"Alta","Muy Alta"))))),"")</f>
        <v>Baja</v>
      </c>
      <c r="AF111" s="81">
        <f t="shared" ref="AF111" si="202">+AD111</f>
        <v>0.216</v>
      </c>
      <c r="AG111" s="82" t="str">
        <f t="shared" ref="AG111" si="203">IFERROR(IF(AH111="","",IF(AH111&lt;=0.2,"Leve",IF(AH111&lt;=0.4,"Menor",IF(AH111&lt;=0.6,"Moderado",IF(AH111&lt;=0.8,"Mayor","Catastrófico"))))),"")</f>
        <v>Moderado</v>
      </c>
      <c r="AH111" s="152">
        <f>IFERROR(IF(AND(V110="Impacto",V111="Impacto"),(AH109-(+AH109*Y111)),IF(V111="Impacto",($M$13-(+$M$13*Y111)),IF(V111="Probabilidad",AH109,""))),"")</f>
        <v>0.6</v>
      </c>
      <c r="AI111" s="83" t="str">
        <f t="shared" ref="AI111" si="204">IFERROR(IF(OR(AND(AE111="Muy Baja",AG111="Leve"),AND(AE111="Muy Baja",AG111="Menor"),AND(AE111="Baja",AG111="Leve")),"Bajo",IF(OR(AND(AE111="Muy baja",AG111="Moderado"),AND(AE111="Baja",AG111="Menor"),AND(AE111="Baja",AG111="Moderado"),AND(AE111="Media",AG111="Leve"),AND(AE111="Media",AG111="Menor"),AND(AE111="Media",AG111="Moderado"),AND(AE111="Alta",AG111="Leve"),AND(AE111="Alta",AG111="Menor")),"Moderado",IF(OR(AND(AE111="Muy Baja",AG111="Mayor"),AND(AE111="Baja",AG111="Mayor"),AND(AE111="Media",AG111="Mayor"),AND(AE111="Alta",AG111="Moderado"),AND(AE111="Alta",AG111="Mayor"),AND(AE111="Muy Alta",AG111="Leve"),AND(AE111="Muy Alta",AG111="Menor"),AND(AE111="Muy Alta",AG111="Moderado"),AND(AE111="Muy Alta",AG111="Mayor")),"Alto",IF(OR(AND(AE111="Muy Baja",AG111="Catastrófico"),AND(AE111="Baja",AG111="Catastrófico"),AND(AE111="Media",AG111="Catastrófico"),AND(AE111="Alta",AG111="Catastrófico"),AND(AE111="Muy Alta",AG111="Catastrófico")),"Extremo","")))),"")</f>
        <v>Moderado</v>
      </c>
      <c r="AJ111" s="413"/>
      <c r="AK111" s="402"/>
      <c r="AL111" s="396"/>
      <c r="AM111" s="396"/>
      <c r="AN111" s="404"/>
      <c r="AO111" s="404"/>
      <c r="AP111" s="396"/>
      <c r="AQ111" s="400"/>
    </row>
    <row r="112" spans="2:43" ht="162.75" customHeight="1" x14ac:dyDescent="0.2">
      <c r="B112" s="202" t="s">
        <v>560</v>
      </c>
      <c r="C112" s="316" t="s">
        <v>560</v>
      </c>
      <c r="D112" s="220">
        <v>80</v>
      </c>
      <c r="E112" s="290" t="s">
        <v>558</v>
      </c>
      <c r="F112" s="254" t="s">
        <v>559</v>
      </c>
      <c r="G112" s="202" t="s">
        <v>623</v>
      </c>
      <c r="H112" s="220" t="s">
        <v>563</v>
      </c>
      <c r="I112" s="220" t="s">
        <v>565</v>
      </c>
      <c r="J112" s="254" t="s">
        <v>123</v>
      </c>
      <c r="K112" s="220" t="s">
        <v>624</v>
      </c>
      <c r="L112" s="255">
        <v>501</v>
      </c>
      <c r="M112" s="215" t="str">
        <f>IF(L112&lt;=0,"",IF(L112&lt;=2,"Muy Baja",IF(L112&lt;=24,"Baja",IF(L112&lt;=500,"Media",IF(L112&lt;=5000,"Alta","Muy Alta")))))</f>
        <v>Alta</v>
      </c>
      <c r="N112" s="218">
        <f>IF(M112="","",IF(M112="Muy Baja",0.2,IF(M112="Baja",0.4,IF(M112="Media",0.6,IF(M112="Alta",0.8,IF(M112="Muy Alta",1,))))))</f>
        <v>0.8</v>
      </c>
      <c r="O112" s="287" t="s">
        <v>145</v>
      </c>
      <c r="P112" s="218" t="s">
        <v>145</v>
      </c>
      <c r="Q112" s="215" t="str">
        <f>IF(OR(P112='Tabla Impacto'!$C$11,P112='Tabla Impacto'!$D$11),"Leve",IF(OR(P112='Tabla Impacto'!$C$12,P112='Tabla Impacto'!$D$12),"Menor",IF(OR(P112='Tabla Impacto'!$C$13,P112='Tabla Impacto'!$D$13),"Moderado",IF(OR(P112='Tabla Impacto'!$C$14,P112:P112='Tabla Impacto'!$D$14),"Mayor",IF(OR(P112='Tabla Impacto'!$C$15,P112='Tabla Impacto'!$D$15),"Catastrófico","")))))</f>
        <v>Moderado</v>
      </c>
      <c r="R112" s="218">
        <f>IF(Q112="","",IF(Q112="Leve",0.2,IF(Q112="Menor",0.4,IF(Q112="Moderado",0.6,IF(Q112="Mayor",0.8,IF(Q112="Catastrófico",1,))))))</f>
        <v>0.6</v>
      </c>
      <c r="S112" s="264" t="str">
        <f>IF(OR(AND(M112="Muy Baja",Q112="Leve"),AND(M112="Muy Baja",Q112="Menor"),AND(M112="Baja",Q112="Leve")),"Bajo",IF(OR(AND(M112="Muy baja",Q112="Moderado"),AND(M112="Baja",Q112="Menor"),AND(M112="Baja",Q112="Moderado"),AND(M112="Media",Q112="Leve"),AND(M112="Media",Q112="Menor"),AND(M112="Media",Q112="Moderado"),AND(M112="Alta",Q112="Leve"),AND(M112="Alta",Q112="Menor")),"Moderado",IF(OR(AND(M112="Muy Baja",Q112="Mayor"),AND(M112="Baja",Q112="Mayor"),AND(M112="Media",Q112="Mayor"),AND(M112="Alta",Q112="Moderado"),AND(M112="Alta",Q112="Mayor"),AND(M112="Muy Alta",Q112="Leve"),AND(M112="Muy Alta",Q112="Menor"),AND(M112="Muy Alta",Q112="Moderado"),AND(M112="Muy Alta",Q112="Mayor")),"Alto",IF(OR(AND(M112="Muy Baja",Q112="Catastrófico"),AND(M112="Baja",Q112="Catastrófico"),AND(M112="Media",Q112="Catastrófico"),AND(M112="Alta",Q112="Catastrófico"),AND(M112="Muy Alta",Q112="Catastrófico")),"Extremo",""))))</f>
        <v>Alto</v>
      </c>
      <c r="T112" s="220">
        <v>1</v>
      </c>
      <c r="U112" s="254" t="s">
        <v>561</v>
      </c>
      <c r="V112" s="291" t="str">
        <f t="shared" si="109"/>
        <v>Probabilidad</v>
      </c>
      <c r="W112" s="234" t="s">
        <v>12</v>
      </c>
      <c r="X112" s="234" t="s">
        <v>7</v>
      </c>
      <c r="Y112" s="175" t="str">
        <f>IF(AND(W112="Preventivo",X112="Automático"),"50%",IF(AND(W112="Preventivo",X112="Manual"),"40%",IF(AND(W112="Detectivo",X112="Automático"),"40%",IF(AND(W112="Detectivo",X112="Manual"),"30%",IF(AND(W112="Correctivo",X112="Automático"),"35%",IF(AND(W112="Correctivo",X112="Manual"),"25%",""))))))</f>
        <v>40%</v>
      </c>
      <c r="Z112" s="319" t="s">
        <v>17</v>
      </c>
      <c r="AA112" s="320" t="s">
        <v>20</v>
      </c>
      <c r="AB112" s="321" t="s">
        <v>114</v>
      </c>
      <c r="AC112" s="172" t="s">
        <v>562</v>
      </c>
      <c r="AD112" s="173">
        <f>IFERROR(IF(V112="Probabilidad",(N112-(+N112*Y112)),IF(V112="Impacto",N112,"")),"")</f>
        <v>0.48</v>
      </c>
      <c r="AE112" s="322" t="str">
        <f>IFERROR(IF(AD112="","",IF(AD112&lt;=0.2,"Muy Baja",IF(AD112&lt;=0.4,"Baja",IF(AD112&lt;=0.6,"Media",IF(AD112&lt;=0.8,"Alta","Muy Alta"))))),"")</f>
        <v>Media</v>
      </c>
      <c r="AF112" s="300">
        <f>+AD112</f>
        <v>0.48</v>
      </c>
      <c r="AG112" s="323" t="str">
        <f>IFERROR(IF(AH112="","",IF(AH112&lt;=0.2,"Leve",IF(AH112&lt;=0.4,"Menor",IF(AH112&lt;=0.6,"Moderado",IF(AH112&lt;=0.8,"Mayor","Catastrófico"))))),"")</f>
        <v>Moderado</v>
      </c>
      <c r="AH112" s="300">
        <f>IFERROR(IF(V112="Impacto",(R112-(+R112*Y112)),IF(V112="Probabilidad",R112,"")),"")</f>
        <v>0.6</v>
      </c>
      <c r="AI112" s="315" t="str">
        <f>IFERROR(IF(OR(AND(AE112="Muy Baja",AG112="Leve"),AND(AE112="Muy Baja",AG112="Menor"),AND(AE112="Baja",AG112="Leve")),"Bajo",IF(OR(AND(AE112="Muy baja",AG112="Moderado"),AND(AE112="Baja",AG112="Menor"),AND(AE112="Baja",AG112="Moderado"),AND(AE112="Media",AG112="Leve"),AND(AE112="Media",AG112="Menor"),AND(AE112="Media",AG112="Moderado"),AND(AE112="Alta",AG112="Leve"),AND(AE112="Alta",AG112="Menor")),"Moderado",IF(OR(AND(AE112="Muy Baja",AG112="Mayor"),AND(AE112="Baja",AG112="Mayor"),AND(AE112="Media",AG112="Mayor"),AND(AE112="Alta",AG112="Moderado"),AND(AE112="Alta",AG112="Mayor"),AND(AE112="Muy Alta",AG112="Leve"),AND(AE112="Muy Alta",AG112="Menor"),AND(AE112="Muy Alta",AG112="Moderado"),AND(AE112="Muy Alta",AG112="Mayor")),"Alto",IF(OR(AND(AE112="Muy Baja",AG112="Catastrófico"),AND(AE112="Baja",AG112="Catastrófico"),AND(AE112="Media",AG112="Catastrófico"),AND(AE112="Alta",AG112="Catastrófico"),AND(AE112="Muy Alta",AG112="Catastrófico")),"Extremo","")))),"")</f>
        <v>Moderado</v>
      </c>
      <c r="AJ112" s="244" t="str">
        <f>$AI$112</f>
        <v>Moderado</v>
      </c>
      <c r="AK112" s="263" t="s">
        <v>30</v>
      </c>
      <c r="AL112" s="254"/>
      <c r="AM112" s="254"/>
      <c r="AN112" s="301"/>
      <c r="AO112" s="301"/>
      <c r="AP112" s="254"/>
      <c r="AQ112" s="255"/>
    </row>
    <row r="113" spans="2:43" ht="126.75" customHeight="1" x14ac:dyDescent="0.2">
      <c r="B113" s="136" t="s">
        <v>312</v>
      </c>
      <c r="C113" s="143" t="s">
        <v>314</v>
      </c>
      <c r="D113" s="143">
        <v>81</v>
      </c>
      <c r="E113" s="136" t="s">
        <v>685</v>
      </c>
      <c r="F113" s="136" t="s">
        <v>690</v>
      </c>
      <c r="G113" s="136" t="s">
        <v>691</v>
      </c>
      <c r="H113" s="143" t="s">
        <v>563</v>
      </c>
      <c r="I113" s="143" t="s">
        <v>684</v>
      </c>
      <c r="J113" s="140" t="s">
        <v>123</v>
      </c>
      <c r="K113" s="143" t="s">
        <v>624</v>
      </c>
      <c r="L113" s="143">
        <v>244</v>
      </c>
      <c r="M113" s="215" t="str">
        <f t="shared" ref="M113:M116" si="205">IF(L113&lt;=0,"",IF(L113&lt;=2,"Muy Baja",IF(L113&lt;=24,"Baja",IF(L113&lt;=500,"Media",IF(L113&lt;=5000,"Alta","Muy Alta")))))</f>
        <v>Media</v>
      </c>
      <c r="N113" s="292">
        <f t="shared" ref="N113:N116" si="206">IF(M113="","",IF(M113="Muy Baja",0.2,IF(M113="Baja",0.4,IF(M113="Media",0.6,IF(M113="Alta",0.8,IF(M113="Muy Alta",1,))))))</f>
        <v>0.6</v>
      </c>
      <c r="O113" s="194" t="s">
        <v>142</v>
      </c>
      <c r="P113" s="193" t="s">
        <v>142</v>
      </c>
      <c r="Q113" s="192" t="str">
        <f>IF(OR(P113='Tabla Impacto'!$C$11,P113='Tabla Impacto'!$D$11),"Leve",IF(OR(P113='Tabla Impacto'!$C$12,P113='Tabla Impacto'!$D$12),"Menor",IF(OR(P113='Tabla Impacto'!$C$13,P113='Tabla Impacto'!$D$13),"Moderado",IF(OR(P113='Tabla Impacto'!$C$14,P113='Tabla Impacto'!$D$14),"Mayor",IF(OR(P113='Tabla Impacto'!$C$15,P113='Tabla Impacto'!$D$15),"Catastrófico","")))))</f>
        <v>Catastrófico</v>
      </c>
      <c r="R113" s="193">
        <f>IF(Q113="","",IF(Q113="Leve",0.2,IF(Q113="Menor",0.4,IF(Q113="Moderado",0.6,IF(Q113="Mayor",0.8,IF(Q113="Catastrófico",1,))))))</f>
        <v>1</v>
      </c>
      <c r="S113" s="245" t="str">
        <f>IF(OR(AND(M113="Muy Baja",Q113="Leve"),AND(M113="Muy Baja",Q113="Menor"),AND(M113="Baja",Q113="Leve")),"Bajo",IF(OR(AND(M113="Muy baja",Q113="Moderado"),AND(M113="Baja",Q113="Menor"),AND(M113="Baja",Q113="Moderado"),AND(M113="Media",Q113="Leve"),AND(M113="Media",Q113="Menor"),AND(M113="Media",Q113="Moderado"),AND(M113="Alta",Q113="Leve"),AND(M113="Alta",Q113="Menor")),"Moderado",IF(OR(AND(M113="Muy Baja",Q113="Mayor"),AND(M113="Baja",Q113="Mayor"),AND(M113="Media",Q113="Mayor"),AND(M113="Alta",Q113="Moderado"),AND(M113="Alta",Q113="Mayor"),AND(M113="Muy Alta",Q113="Leve"),AND(M113="Muy Alta",Q113="Menor"),AND(M113="Muy Alta",Q113="Moderado"),AND(M113="Muy Alta",Q113="Mayor")),"Alto",IF(OR(AND(M113="Muy Baja",Q113="Catastrófico"),AND(M113="Baja",Q113="Catastrófico"),AND(M113="Media",Q113="Catastrófico"),AND(M113="Alta",Q113="Catastrófico"),AND(M113="Muy Alta",Q113="Catastrófico")),"Extremo",""))))</f>
        <v>Extremo</v>
      </c>
      <c r="T113" s="143">
        <v>1</v>
      </c>
      <c r="U113" s="214" t="s">
        <v>362</v>
      </c>
      <c r="V113" s="178" t="str">
        <f t="shared" si="109"/>
        <v>Probabilidad</v>
      </c>
      <c r="W113" s="168" t="s">
        <v>12</v>
      </c>
      <c r="X113" s="168" t="s">
        <v>7</v>
      </c>
      <c r="Y113" s="150" t="str">
        <f>IF(AND(W113="Preventivo",X113="Automático"),"50%",IF(AND(W113="Preventivo",X113="Manual"),"40%",IF(AND(W113="Detectivo",X113="Automático"),"40%",IF(AND(W113="Detectivo",X113="Manual"),"30%",IF(AND(W113="Correctivo",X113="Automático"),"35%",IF(AND(W113="Correctivo",X113="Manual"),"25%",""))))))</f>
        <v>40%</v>
      </c>
      <c r="Z113" s="169" t="s">
        <v>363</v>
      </c>
      <c r="AA113" s="170" t="s">
        <v>20</v>
      </c>
      <c r="AB113" s="171" t="s">
        <v>114</v>
      </c>
      <c r="AC113" s="180" t="s">
        <v>364</v>
      </c>
      <c r="AD113" s="164">
        <f t="shared" ref="AD113" si="207">IFERROR(IF(V113="Probabilidad",(N113-(+N113*Y113)),IF(V113="Impacto",N113,"")),"")</f>
        <v>0.36</v>
      </c>
      <c r="AE113" s="151" t="str">
        <f t="shared" ref="AE113" si="208">IFERROR(IF(AD113="","",IF(AD113&lt;=0.2,"Muy Baja",IF(AD113&lt;=0.4,"Baja",IF(AD113&lt;=0.6,"Media",IF(AD113&lt;=0.8,"Alta","Muy Alta"))))),"")</f>
        <v>Baja</v>
      </c>
      <c r="AF113" s="81">
        <f t="shared" ref="AF113" si="209">+AD113</f>
        <v>0.36</v>
      </c>
      <c r="AG113" s="82" t="str">
        <f t="shared" ref="AG113" si="210">IFERROR(IF(AH113="","",IF(AH113&lt;=0.2,"Leve",IF(AH113&lt;=0.4,"Menor",IF(AH113&lt;=0.6,"Moderado",IF(AH113&lt;=0.8,"Mayor","Catastrófico"))))),"")</f>
        <v>Catastrófico</v>
      </c>
      <c r="AH113" s="81">
        <f t="shared" ref="AH113" si="211">IFERROR(IF(V113="Impacto",(R113-(+R113*Y113)),IF(V113="Probabilidad",R113,"")),"")</f>
        <v>1</v>
      </c>
      <c r="AI113" s="83" t="str">
        <f t="shared" ref="AI113" si="212">IFERROR(IF(OR(AND(AE113="Muy Baja",AG113="Leve"),AND(AE113="Muy Baja",AG113="Menor"),AND(AE113="Baja",AG113="Leve")),"Bajo",IF(OR(AND(AE113="Muy baja",AG113="Moderado"),AND(AE113="Baja",AG113="Menor"),AND(AE113="Baja",AG113="Moderado"),AND(AE113="Media",AG113="Leve"),AND(AE113="Media",AG113="Menor"),AND(AE113="Media",AG113="Moderado"),AND(AE113="Alta",AG113="Leve"),AND(AE113="Alta",AG113="Menor")),"Moderado",IF(OR(AND(AE113="Muy Baja",AG113="Mayor"),AND(AE113="Baja",AG113="Mayor"),AND(AE113="Media",AG113="Mayor"),AND(AE113="Alta",AG113="Moderado"),AND(AE113="Alta",AG113="Mayor"),AND(AE113="Muy Alta",AG113="Leve"),AND(AE113="Muy Alta",AG113="Menor"),AND(AE113="Muy Alta",AG113="Moderado"),AND(AE113="Muy Alta",AG113="Mayor")),"Alto",IF(OR(AND(AE113="Muy Baja",AG113="Catastrófico"),AND(AE113="Baja",AG113="Catastrófico"),AND(AE113="Media",AG113="Catastrófico"),AND(AE113="Alta",AG113="Catastrófico"),AND(AE113="Muy Alta",AG113="Catastrófico")),"Extremo","")))),"")</f>
        <v>Extremo</v>
      </c>
      <c r="AJ113" s="83" t="str">
        <f t="shared" ref="AJ113" si="213">AI113</f>
        <v>Extremo</v>
      </c>
      <c r="AK113" s="125" t="s">
        <v>129</v>
      </c>
      <c r="AL113" s="136" t="s">
        <v>641</v>
      </c>
      <c r="AM113" s="143" t="s">
        <v>642</v>
      </c>
      <c r="AN113" s="239" t="s">
        <v>627</v>
      </c>
      <c r="AO113" s="84" t="s">
        <v>407</v>
      </c>
      <c r="AP113" s="123" t="s">
        <v>364</v>
      </c>
      <c r="AQ113" s="240" t="s">
        <v>38</v>
      </c>
    </row>
    <row r="114" spans="2:43" ht="89.25" x14ac:dyDescent="0.2">
      <c r="B114" s="389" t="s">
        <v>293</v>
      </c>
      <c r="C114" s="389" t="s">
        <v>688</v>
      </c>
      <c r="D114" s="391">
        <v>82</v>
      </c>
      <c r="E114" s="389" t="s">
        <v>687</v>
      </c>
      <c r="F114" s="389" t="s">
        <v>692</v>
      </c>
      <c r="G114" s="389" t="s">
        <v>693</v>
      </c>
      <c r="H114" s="391" t="s">
        <v>563</v>
      </c>
      <c r="I114" s="391" t="s">
        <v>695</v>
      </c>
      <c r="J114" s="388" t="s">
        <v>123</v>
      </c>
      <c r="K114" s="391" t="s">
        <v>624</v>
      </c>
      <c r="L114" s="391">
        <v>128</v>
      </c>
      <c r="M114" s="439" t="str">
        <f t="shared" si="205"/>
        <v>Media</v>
      </c>
      <c r="N114" s="451">
        <f t="shared" si="206"/>
        <v>0.6</v>
      </c>
      <c r="O114" s="445" t="s">
        <v>142</v>
      </c>
      <c r="P114" s="451" t="s">
        <v>142</v>
      </c>
      <c r="Q114" s="439" t="str">
        <f>IF(OR(P114='Tabla Impacto'!$C$11,P114='Tabla Impacto'!$D$11),"Leve",IF(OR(P114='Tabla Impacto'!$C$12,P114='Tabla Impacto'!$D$12),"Menor",IF(OR(P114='Tabla Impacto'!$C$13,P114='Tabla Impacto'!$D$13),"Moderado",IF(OR(P114='Tabla Impacto'!$C$14,P114='Tabla Impacto'!$D$14),"Mayor",IF(OR(P114='Tabla Impacto'!$C$15,P114='Tabla Impacto'!$D$15),"Catastrófico","")))))</f>
        <v>Catastrófico</v>
      </c>
      <c r="R114" s="451">
        <f>IF(Q114="","",IF(Q114="Leve",0.2,IF(Q114="Menor",0.4,IF(Q114="Moderado",0.6,IF(Q114="Mayor",0.8,IF(Q114="Catastrófico",1,))))))</f>
        <v>1</v>
      </c>
      <c r="S114" s="557" t="str">
        <f>IF(OR(AND(M114="Muy Baja",Q114="Leve"),AND(M114="Muy Baja",Q114="Menor"),AND(M114="Baja",Q114="Leve")),"Bajo",IF(OR(AND(M114="Muy baja",Q114="Moderado"),AND(M114="Baja",Q114="Menor"),AND(M114="Baja",Q114="Moderado"),AND(M114="Media",Q114="Leve"),AND(M114="Media",Q114="Menor"),AND(M114="Media",Q114="Moderado"),AND(M114="Alta",Q114="Leve"),AND(M114="Alta",Q114="Menor")),"Moderado",IF(OR(AND(M114="Muy Baja",Q114="Mayor"),AND(M114="Baja",Q114="Mayor"),AND(M114="Media",Q114="Mayor"),AND(M114="Alta",Q114="Moderado"),AND(M114="Alta",Q114="Mayor"),AND(M114="Muy Alta",Q114="Leve"),AND(M114="Muy Alta",Q114="Menor"),AND(M114="Muy Alta",Q114="Moderado"),AND(M114="Muy Alta",Q114="Mayor")),"Alto",IF(OR(AND(M114="Muy Baja",Q114="Catastrófico"),AND(M114="Baja",Q114="Catastrófico"),AND(M114="Media",Q114="Catastrófico"),AND(M114="Alta",Q114="Catastrófico"),AND(M114="Muy Alta",Q114="Catastrófico")),"Extremo",""))))</f>
        <v>Extremo</v>
      </c>
      <c r="T114" s="141">
        <v>1</v>
      </c>
      <c r="U114" s="144" t="s">
        <v>295</v>
      </c>
      <c r="V114" s="146" t="str">
        <f t="shared" si="109"/>
        <v>Probabilidad</v>
      </c>
      <c r="W114" s="147" t="s">
        <v>12</v>
      </c>
      <c r="X114" s="147" t="s">
        <v>7</v>
      </c>
      <c r="Y114" s="148" t="str">
        <f>IF(AND(W114="Preventivo",X114="Automático"),"50%",IF(AND(W114="Preventivo",X114="Manual"),"40%",IF(AND(W114="Detectivo",X114="Automático"),"40%",IF(AND(W114="Detectivo",X114="Manual"),"30%",IF(AND(W114="Correctivo",X114="Automático"),"35%",IF(AND(W114="Correctivo",X114="Manual"),"25%",""))))))</f>
        <v>40%</v>
      </c>
      <c r="Z114" s="161" t="s">
        <v>17</v>
      </c>
      <c r="AA114" s="162" t="s">
        <v>20</v>
      </c>
      <c r="AB114" s="163" t="s">
        <v>114</v>
      </c>
      <c r="AC114" s="145" t="s">
        <v>296</v>
      </c>
      <c r="AD114" s="164">
        <f>IFERROR(IF(V114="Probabilidad",(N114-(+N114*Y114)),IF(V114="Impacto",N114,"")),"")</f>
        <v>0.36</v>
      </c>
      <c r="AE114" s="165" t="str">
        <f>IFERROR(IF(AD114="","",IF(AD114&lt;=0.2,"Muy Baja",IF(AD114&lt;=0.4,"Baja",IF(AD114&lt;=0.6,"Media",IF(AD114&lt;=0.8,"Alta","Muy Alta"))))),"")</f>
        <v>Baja</v>
      </c>
      <c r="AF114" s="148">
        <f>+AD114</f>
        <v>0.36</v>
      </c>
      <c r="AG114" s="166" t="str">
        <f>IFERROR(IF(AH114="","",IF(AH114&lt;=0.2,"Leve",IF(AH114&lt;=0.4,"Menor",IF(AH114&lt;=0.6,"Moderado",IF(AH114&lt;=0.8,"Mayor","Catastrófico"))))),"")</f>
        <v>Catastrófico</v>
      </c>
      <c r="AH114" s="148">
        <f>IFERROR(IF(V114="Impacto",(R114-(+R114*Y114)),IF(V114="Probabilidad",R114,"")),"")</f>
        <v>1</v>
      </c>
      <c r="AI114" s="167" t="str">
        <f>IFERROR(IF(OR(AND(AE114="Muy Baja",AG114="Leve"),AND(AE114="Muy Baja",AG114="Menor"),AND(AE114="Baja",AG114="Leve")),"Bajo",IF(OR(AND(AE114="Muy baja",AG114="Moderado"),AND(AE114="Baja",AG114="Menor"),AND(AE114="Baja",AG114="Moderado"),AND(AE114="Media",AG114="Leve"),AND(AE114="Media",AG114="Menor"),AND(AE114="Media",AG114="Moderado"),AND(AE114="Alta",AG114="Leve"),AND(AE114="Alta",AG114="Menor")),"Moderado",IF(OR(AND(AE114="Muy Baja",AG114="Mayor"),AND(AE114="Baja",AG114="Mayor"),AND(AE114="Media",AG114="Mayor"),AND(AE114="Alta",AG114="Moderado"),AND(AE114="Alta",AG114="Mayor"),AND(AE114="Muy Alta",AG114="Leve"),AND(AE114="Muy Alta",AG114="Menor"),AND(AE114="Muy Alta",AG114="Moderado"),AND(AE114="Muy Alta",AG114="Mayor")),"Alto",IF(OR(AND(AE114="Muy Baja",AG114="Catastrófico"),AND(AE114="Baja",AG114="Catastrófico"),AND(AE114="Media",AG114="Catastrófico"),AND(AE114="Alta",AG114="Catastrófico"),AND(AE114="Muy Alta",AG114="Catastrófico")),"Extremo","")))),"")</f>
        <v>Extremo</v>
      </c>
      <c r="AJ114" s="436" t="str">
        <f>IFERROR(IF(OR(AND(AE115="Muy Baja",AG115="Leve"),AND(AE115="Muy Baja",AG115="Menor"),AND(AE115="Baja",AG115="Leve")),"Bajo",IF(OR(AND(AE115="Muy baja",AG115="Moderado"),AND(AE115="Baja",AG115="Menor"),AND(AE115="Baja",AG115="Moderado"),AND(AE115="Media",AG115="Leve"),AND(AE115="Media",AG115="Menor"),AND(AE115="Media",AG115="Moderado"),AND(AE115="Alta",AG115="Leve"),AND(AE115="Alta",AG115="Menor")),"Moderado",IF(OR(AND(AE115="Muy Baja",AG115="Mayor"),AND(AE115="Baja",AG115="Mayor"),AND(AE115="Media",AG115="Mayor"),AND(AE115="Alta",AG115="Moderado"),AND(AE115="Alta",AG115="Mayor"),AND(AE115="Muy Alta",AG115="Leve"),AND(AE115="Muy Alta",AG115="Menor"),AND(AE115="Muy Alta",AG115="Moderado"),AND(AE115="Muy Alta",AG115="Mayor")),"Alto",IF(OR(AND(AE115="Muy Baja",AG115="Catastrófico"),AND(AE115="Baja",AG115="Catastrófico"),AND(AE115="Media",AG115="Catastrófico"),AND(AE115="Alta",AG115="Catastrófico"),AND(AE115="Muy Alta",AG115="Catastrófico")),"Extremo","")))),"")</f>
        <v>Extremo</v>
      </c>
      <c r="AK114" s="463" t="s">
        <v>30</v>
      </c>
      <c r="AL114" s="158"/>
      <c r="AM114" s="158"/>
      <c r="AN114" s="158"/>
      <c r="AO114" s="158"/>
      <c r="AP114" s="158"/>
      <c r="AQ114" s="158"/>
    </row>
    <row r="115" spans="2:43" ht="83.25" customHeight="1" x14ac:dyDescent="0.2">
      <c r="B115" s="390"/>
      <c r="C115" s="390"/>
      <c r="D115" s="392"/>
      <c r="E115" s="390"/>
      <c r="F115" s="390"/>
      <c r="G115" s="390"/>
      <c r="H115" s="392"/>
      <c r="I115" s="392"/>
      <c r="J115" s="396"/>
      <c r="K115" s="392"/>
      <c r="L115" s="392"/>
      <c r="M115" s="440"/>
      <c r="N115" s="452"/>
      <c r="O115" s="446"/>
      <c r="P115" s="452"/>
      <c r="Q115" s="440"/>
      <c r="R115" s="452"/>
      <c r="S115" s="558"/>
      <c r="T115" s="143">
        <v>2</v>
      </c>
      <c r="U115" s="144" t="s">
        <v>297</v>
      </c>
      <c r="V115" s="149" t="str">
        <f>IF(OR(W115="Preventivo",W115="Detectivo"),"Probabilidad",IF(W115="Correctivo","Impacto",""))</f>
        <v>Probabilidad</v>
      </c>
      <c r="W115" s="168" t="s">
        <v>12</v>
      </c>
      <c r="X115" s="168" t="s">
        <v>7</v>
      </c>
      <c r="Y115" s="150" t="str">
        <f>IF(AND(W115="Preventivo",X115="Automático"),"50%",IF(AND(W115="Preventivo",X115="Manual"),"40%",IF(AND(W115="Detectivo",X115="Automático"),"40%",IF(AND(W115="Detectivo",X115="Manual"),"30%",IF(AND(W115="Correctivo",X115="Automático"),"35%",IF(AND(W115="Correctivo",X115="Manual"),"25%",""))))))</f>
        <v>40%</v>
      </c>
      <c r="Z115" s="169" t="s">
        <v>17</v>
      </c>
      <c r="AA115" s="170" t="s">
        <v>20</v>
      </c>
      <c r="AB115" s="171" t="s">
        <v>114</v>
      </c>
      <c r="AC115" s="145" t="s">
        <v>298</v>
      </c>
      <c r="AD115" s="164">
        <f>IFERROR(IF(AND(V114="Probabilidad",V115="Probabilidad"),(AF114-(+AF114*Y115)),IF(V115="Probabilidad",(N114-(+N114*Y115)),IF(V115="Impacto",AF114,""))),"")</f>
        <v>0.216</v>
      </c>
      <c r="AE115" s="151" t="str">
        <f t="shared" ref="AE115" si="214">IFERROR(IF(AD115="","",IF(AD115&lt;=0.2,"Muy Baja",IF(AD115&lt;=0.4,"Baja",IF(AD115&lt;=0.6,"Media",IF(AD115&lt;=0.8,"Alta","Muy Alta"))))),"")</f>
        <v>Baja</v>
      </c>
      <c r="AF115" s="81">
        <f t="shared" ref="AF115" si="215">+AD115</f>
        <v>0.216</v>
      </c>
      <c r="AG115" s="82" t="str">
        <f t="shared" ref="AG115" si="216">IFERROR(IF(AH115="","",IF(AH115&lt;=0.2,"Leve",IF(AH115&lt;=0.4,"Menor",IF(AH115&lt;=0.6,"Moderado",IF(AH115&lt;=0.8,"Mayor","Catastrófico"))))),"")</f>
        <v>Catastrófico</v>
      </c>
      <c r="AH115" s="152">
        <f>IFERROR(IF(AND(V114="Impacto",V115="Impacto"),(AH114-(+AH114*Y115)),IF(V115="Impacto",($M$10-(+$M$10*Y115)),IF(V115="Probabilidad",AH114,""))),"")</f>
        <v>1</v>
      </c>
      <c r="AI115" s="83" t="str">
        <f t="shared" ref="AI115" si="217">IFERROR(IF(OR(AND(AE115="Muy Baja",AG115="Leve"),AND(AE115="Muy Baja",AG115="Menor"),AND(AE115="Baja",AG115="Leve")),"Bajo",IF(OR(AND(AE115="Muy baja",AG115="Moderado"),AND(AE115="Baja",AG115="Menor"),AND(AE115="Baja",AG115="Moderado"),AND(AE115="Media",AG115="Leve"),AND(AE115="Media",AG115="Menor"),AND(AE115="Media",AG115="Moderado"),AND(AE115="Alta",AG115="Leve"),AND(AE115="Alta",AG115="Menor")),"Moderado",IF(OR(AND(AE115="Muy Baja",AG115="Mayor"),AND(AE115="Baja",AG115="Mayor"),AND(AE115="Media",AG115="Mayor"),AND(AE115="Alta",AG115="Moderado"),AND(AE115="Alta",AG115="Mayor"),AND(AE115="Muy Alta",AG115="Leve"),AND(AE115="Muy Alta",AG115="Menor"),AND(AE115="Muy Alta",AG115="Moderado"),AND(AE115="Muy Alta",AG115="Mayor")),"Alto",IF(OR(AND(AE115="Muy Baja",AG115="Catastrófico"),AND(AE115="Baja",AG115="Catastrófico"),AND(AE115="Media",AG115="Catastrófico"),AND(AE115="Alta",AG115="Catastrófico"),AND(AE115="Muy Alta",AG115="Catastrófico")),"Extremo","")))),"")</f>
        <v>Extremo</v>
      </c>
      <c r="AJ115" s="438"/>
      <c r="AK115" s="463"/>
      <c r="AL115" s="158"/>
      <c r="AM115" s="158"/>
      <c r="AN115" s="158"/>
      <c r="AO115" s="158"/>
      <c r="AP115" s="158"/>
      <c r="AQ115" s="158"/>
    </row>
    <row r="116" spans="2:43" ht="178.5" customHeight="1" x14ac:dyDescent="0.2">
      <c r="B116" s="136" t="s">
        <v>312</v>
      </c>
      <c r="C116" s="143" t="s">
        <v>689</v>
      </c>
      <c r="D116" s="143">
        <v>83</v>
      </c>
      <c r="E116" s="136" t="s">
        <v>697</v>
      </c>
      <c r="F116" s="136" t="s">
        <v>698</v>
      </c>
      <c r="G116" s="136" t="s">
        <v>694</v>
      </c>
      <c r="H116" s="143" t="s">
        <v>563</v>
      </c>
      <c r="I116" s="143" t="s">
        <v>696</v>
      </c>
      <c r="J116" s="140" t="s">
        <v>123</v>
      </c>
      <c r="K116" s="143" t="s">
        <v>624</v>
      </c>
      <c r="L116" s="143">
        <v>7</v>
      </c>
      <c r="M116" s="192" t="str">
        <f t="shared" si="205"/>
        <v>Baja</v>
      </c>
      <c r="N116" s="325">
        <f t="shared" si="206"/>
        <v>0.4</v>
      </c>
      <c r="O116" s="194" t="s">
        <v>142</v>
      </c>
      <c r="P116" s="193" t="s">
        <v>142</v>
      </c>
      <c r="Q116" s="192" t="str">
        <f>IF(OR(P116='Tabla Impacto'!$C$11,P116='Tabla Impacto'!$D$11),"Leve",IF(OR(P116='Tabla Impacto'!$C$12,P116='Tabla Impacto'!$D$12),"Menor",IF(OR(P116='Tabla Impacto'!$C$13,P116='Tabla Impacto'!$D$13),"Moderado",IF(OR(P116='Tabla Impacto'!$C$14,P116='Tabla Impacto'!$D$14),"Mayor",IF(OR(P116='Tabla Impacto'!$C$15,P116='Tabla Impacto'!$D$15),"Catastrófico","")))))</f>
        <v>Catastrófico</v>
      </c>
      <c r="R116" s="193">
        <f>IF(Q116="","",IF(Q116="Leve",0.2,IF(Q116="Menor",0.4,IF(Q116="Moderado",0.6,IF(Q116="Mayor",0.8,IF(Q116="Catastrófico",1,))))))</f>
        <v>1</v>
      </c>
      <c r="S116" s="245" t="str">
        <f>IF(OR(AND(M116="Muy Baja",Q116="Leve"),AND(M116="Muy Baja",Q116="Menor"),AND(M116="Baja",Q116="Leve")),"Bajo",IF(OR(AND(M116="Muy baja",Q116="Moderado"),AND(M116="Baja",Q116="Menor"),AND(M116="Baja",Q116="Moderado"),AND(M116="Media",Q116="Leve"),AND(M116="Media",Q116="Menor"),AND(M116="Media",Q116="Moderado"),AND(M116="Alta",Q116="Leve"),AND(M116="Alta",Q116="Menor")),"Moderado",IF(OR(AND(M116="Muy Baja",Q116="Mayor"),AND(M116="Baja",Q116="Mayor"),AND(M116="Media",Q116="Mayor"),AND(M116="Alta",Q116="Moderado"),AND(M116="Alta",Q116="Mayor"),AND(M116="Muy Alta",Q116="Leve"),AND(M116="Muy Alta",Q116="Menor"),AND(M116="Muy Alta",Q116="Moderado"),AND(M116="Muy Alta",Q116="Mayor")),"Alto",IF(OR(AND(M116="Muy Baja",Q116="Catastrófico"),AND(M116="Baja",Q116="Catastrófico"),AND(M116="Media",Q116="Catastrófico"),AND(M116="Alta",Q116="Catastrófico"),AND(M116="Muy Alta",Q116="Catastrófico")),"Extremo",""))))</f>
        <v>Extremo</v>
      </c>
      <c r="T116" s="143">
        <v>1</v>
      </c>
      <c r="U116" s="318" t="s">
        <v>700</v>
      </c>
      <c r="V116" s="149" t="str">
        <f>IF(OR(W116="Preventivo",W116="Detectivo"),"Probabilidad",IF(W116="Correctivo","Impacto",""))</f>
        <v>Probabilidad</v>
      </c>
      <c r="W116" s="168" t="s">
        <v>12</v>
      </c>
      <c r="X116" s="168" t="s">
        <v>7</v>
      </c>
      <c r="Y116" s="150" t="str">
        <f>IF(AND(W116="Preventivo",X116="Automático"),"50%",IF(AND(W116="Preventivo",X116="Manual"),"40%",IF(AND(W116="Detectivo",X116="Automático"),"40%",IF(AND(W116="Detectivo",X116="Manual"),"30%",IF(AND(W116="Correctivo",X116="Automático"),"35%",IF(AND(W116="Correctivo",X116="Manual"),"25%",""))))))</f>
        <v>40%</v>
      </c>
      <c r="Z116" s="169" t="s">
        <v>17</v>
      </c>
      <c r="AA116" s="170" t="s">
        <v>20</v>
      </c>
      <c r="AB116" s="171" t="s">
        <v>114</v>
      </c>
      <c r="AC116" s="145" t="s">
        <v>699</v>
      </c>
      <c r="AD116" s="164">
        <f>IFERROR(IF(AND(V115="Probabilidad",V116="Probabilidad"),(AF115-(+AF115*Y116)),IF(V116="Probabilidad",(N115-(+N115*Y116)),IF(V116="Impacto",AF115,""))),"")</f>
        <v>0.12959999999999999</v>
      </c>
      <c r="AE116" s="151" t="str">
        <f t="shared" ref="AE116" si="218">IFERROR(IF(AD116="","",IF(AD116&lt;=0.2,"Muy Baja",IF(AD116&lt;=0.4,"Baja",IF(AD116&lt;=0.6,"Media",IF(AD116&lt;=0.8,"Alta","Muy Alta"))))),"")</f>
        <v>Muy Baja</v>
      </c>
      <c r="AF116" s="81">
        <f t="shared" ref="AF116" si="219">+AD116</f>
        <v>0.12959999999999999</v>
      </c>
      <c r="AG116" s="82" t="str">
        <f t="shared" ref="AG116" si="220">IFERROR(IF(AH116="","",IF(AH116&lt;=0.2,"Leve",IF(AH116&lt;=0.4,"Menor",IF(AH116&lt;=0.6,"Moderado",IF(AH116&lt;=0.8,"Mayor","Catastrófico"))))),"")</f>
        <v>Catastrófico</v>
      </c>
      <c r="AH116" s="152">
        <f>IFERROR(IF(AND(V115="Impacto",V116="Impacto"),(AH115-(+AH115*Y116)),IF(V116="Impacto",($M$10-(+$M$10*Y116)),IF(V116="Probabilidad",AH115,""))),"")</f>
        <v>1</v>
      </c>
      <c r="AI116" s="83" t="str">
        <f t="shared" ref="AI116" si="221">IFERROR(IF(OR(AND(AE116="Muy Baja",AG116="Leve"),AND(AE116="Muy Baja",AG116="Menor"),AND(AE116="Baja",AG116="Leve")),"Bajo",IF(OR(AND(AE116="Muy baja",AG116="Moderado"),AND(AE116="Baja",AG116="Menor"),AND(AE116="Baja",AG116="Moderado"),AND(AE116="Media",AG116="Leve"),AND(AE116="Media",AG116="Menor"),AND(AE116="Media",AG116="Moderado"),AND(AE116="Alta",AG116="Leve"),AND(AE116="Alta",AG116="Menor")),"Moderado",IF(OR(AND(AE116="Muy Baja",AG116="Mayor"),AND(AE116="Baja",AG116="Mayor"),AND(AE116="Media",AG116="Mayor"),AND(AE116="Alta",AG116="Moderado"),AND(AE116="Alta",AG116="Mayor"),AND(AE116="Muy Alta",AG116="Leve"),AND(AE116="Muy Alta",AG116="Menor"),AND(AE116="Muy Alta",AG116="Moderado"),AND(AE116="Muy Alta",AG116="Mayor")),"Alto",IF(OR(AND(AE116="Muy Baja",AG116="Catastrófico"),AND(AE116="Baja",AG116="Catastrófico"),AND(AE116="Media",AG116="Catastrófico"),AND(AE116="Alta",AG116="Catastrófico"),AND(AE116="Muy Alta",AG116="Catastrófico")),"Extremo","")))),"")</f>
        <v>Extremo</v>
      </c>
      <c r="AJ116" s="83" t="str">
        <f>AI116</f>
        <v>Extremo</v>
      </c>
      <c r="AK116" s="125" t="s">
        <v>129</v>
      </c>
      <c r="AL116" s="328" t="s">
        <v>702</v>
      </c>
      <c r="AM116" s="328" t="s">
        <v>703</v>
      </c>
      <c r="AN116" s="158" t="s">
        <v>704</v>
      </c>
      <c r="AO116" s="158" t="s">
        <v>407</v>
      </c>
      <c r="AP116" s="158" t="s">
        <v>643</v>
      </c>
      <c r="AQ116" s="158" t="s">
        <v>38</v>
      </c>
    </row>
    <row r="117" spans="2:43" x14ac:dyDescent="0.2">
      <c r="AJ117" s="167"/>
      <c r="AK117" s="147"/>
    </row>
  </sheetData>
  <autoFilter ref="B8:BW116" xr:uid="{00000000-0009-0000-0000-000001000000}"/>
  <dataConsolidate/>
  <mergeCells count="598">
    <mergeCell ref="AJ114:AJ115"/>
    <mergeCell ref="AK114:AK115"/>
    <mergeCell ref="B114:B115"/>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O115"/>
    <mergeCell ref="P114:P115"/>
    <mergeCell ref="Q114:Q115"/>
    <mergeCell ref="R114:R115"/>
    <mergeCell ref="S114:S115"/>
    <mergeCell ref="AJ56:AJ57"/>
    <mergeCell ref="AJ58:AJ59"/>
    <mergeCell ref="AO62:AO63"/>
    <mergeCell ref="D86:D87"/>
    <mergeCell ref="D97:D98"/>
    <mergeCell ref="B94:B100"/>
    <mergeCell ref="C94:C100"/>
    <mergeCell ref="Q56:Q57"/>
    <mergeCell ref="R56:R57"/>
    <mergeCell ref="S56:S57"/>
    <mergeCell ref="L58:L59"/>
    <mergeCell ref="M58:M59"/>
    <mergeCell ref="N58:N59"/>
    <mergeCell ref="P58:P59"/>
    <mergeCell ref="Q58:Q59"/>
    <mergeCell ref="R58:R59"/>
    <mergeCell ref="S58:S59"/>
    <mergeCell ref="L56:L57"/>
    <mergeCell ref="M56:M57"/>
    <mergeCell ref="N56:N57"/>
    <mergeCell ref="J62:J63"/>
    <mergeCell ref="G60:G61"/>
    <mergeCell ref="H60:H61"/>
    <mergeCell ref="I60:I61"/>
    <mergeCell ref="AL24:AL25"/>
    <mergeCell ref="AM24:AM25"/>
    <mergeCell ref="AN24:AN25"/>
    <mergeCell ref="AO24:AO25"/>
    <mergeCell ref="AL29:AL30"/>
    <mergeCell ref="AM29:AM30"/>
    <mergeCell ref="AN29:AN30"/>
    <mergeCell ref="AK44:AK45"/>
    <mergeCell ref="AK51:AK52"/>
    <mergeCell ref="AP24:AP25"/>
    <mergeCell ref="AQ24:AQ25"/>
    <mergeCell ref="AL44:AL45"/>
    <mergeCell ref="AM44:AM45"/>
    <mergeCell ref="AN44:AN45"/>
    <mergeCell ref="AO44:AO45"/>
    <mergeCell ref="AP44:AP45"/>
    <mergeCell ref="AQ44:AQ45"/>
    <mergeCell ref="H107:H108"/>
    <mergeCell ref="K75:K76"/>
    <mergeCell ref="K86:K87"/>
    <mergeCell ref="K92:K93"/>
    <mergeCell ref="K97:K98"/>
    <mergeCell ref="K104:K105"/>
    <mergeCell ref="K107:K108"/>
    <mergeCell ref="S24:S25"/>
    <mergeCell ref="H24:H25"/>
    <mergeCell ref="I24:I25"/>
    <mergeCell ref="AO29:AO30"/>
    <mergeCell ref="AP29:AP30"/>
    <mergeCell ref="K29:K30"/>
    <mergeCell ref="AK29:AK30"/>
    <mergeCell ref="AJ60:AJ61"/>
    <mergeCell ref="J29:J30"/>
    <mergeCell ref="AN7:AN8"/>
    <mergeCell ref="L6:S6"/>
    <mergeCell ref="AQ7:AQ8"/>
    <mergeCell ref="AP7:AP8"/>
    <mergeCell ref="AJ7:AJ8"/>
    <mergeCell ref="S9:S10"/>
    <mergeCell ref="O9:O10"/>
    <mergeCell ref="P9:P10"/>
    <mergeCell ref="Q9:Q10"/>
    <mergeCell ref="R9:R10"/>
    <mergeCell ref="Q7:Q8"/>
    <mergeCell ref="V7:V8"/>
    <mergeCell ref="AM7:AM8"/>
    <mergeCell ref="AK7:AK8"/>
    <mergeCell ref="T7:T8"/>
    <mergeCell ref="AG7:AG8"/>
    <mergeCell ref="AE7:AE8"/>
    <mergeCell ref="AF7:AF8"/>
    <mergeCell ref="T6:AC6"/>
    <mergeCell ref="AI7:AI8"/>
    <mergeCell ref="AH7:AH8"/>
    <mergeCell ref="AD7:AD8"/>
    <mergeCell ref="U7:U8"/>
    <mergeCell ref="L9:L10"/>
    <mergeCell ref="B2:E3"/>
    <mergeCell ref="B4:E4"/>
    <mergeCell ref="F2:AN3"/>
    <mergeCell ref="F4:AN4"/>
    <mergeCell ref="L7:L8"/>
    <mergeCell ref="M7:M8"/>
    <mergeCell ref="N7:N8"/>
    <mergeCell ref="D7:D8"/>
    <mergeCell ref="I7:I8"/>
    <mergeCell ref="H7:H8"/>
    <mergeCell ref="G7:G8"/>
    <mergeCell ref="D6:K6"/>
    <mergeCell ref="K7:K8"/>
    <mergeCell ref="R7:R8"/>
    <mergeCell ref="S7:S8"/>
    <mergeCell ref="O7:O8"/>
    <mergeCell ref="P7:P8"/>
    <mergeCell ref="W7:AC7"/>
    <mergeCell ref="AL6:AQ6"/>
    <mergeCell ref="AD6:AK6"/>
    <mergeCell ref="AO2:AQ3"/>
    <mergeCell ref="AO4:AQ4"/>
    <mergeCell ref="AL7:AL8"/>
    <mergeCell ref="AO7:AO8"/>
    <mergeCell ref="B7:B8"/>
    <mergeCell ref="F7:F8"/>
    <mergeCell ref="J7:J8"/>
    <mergeCell ref="E7:E8"/>
    <mergeCell ref="C7:C8"/>
    <mergeCell ref="B9:B13"/>
    <mergeCell ref="C9:C13"/>
    <mergeCell ref="D11:D13"/>
    <mergeCell ref="E11:E13"/>
    <mergeCell ref="D9:D10"/>
    <mergeCell ref="G9:G10"/>
    <mergeCell ref="H9:H10"/>
    <mergeCell ref="F11:F13"/>
    <mergeCell ref="F9:F10"/>
    <mergeCell ref="J9:J10"/>
    <mergeCell ref="I9:I10"/>
    <mergeCell ref="AK9:AK10"/>
    <mergeCell ref="AK11:AK13"/>
    <mergeCell ref="E9:E10"/>
    <mergeCell ref="G11:G13"/>
    <mergeCell ref="H11:H13"/>
    <mergeCell ref="I11:I13"/>
    <mergeCell ref="J11:J13"/>
    <mergeCell ref="M11:M13"/>
    <mergeCell ref="L11:L13"/>
    <mergeCell ref="K11:K13"/>
    <mergeCell ref="AJ9:AJ10"/>
    <mergeCell ref="AJ11:AJ13"/>
    <mergeCell ref="N9:N10"/>
    <mergeCell ref="M9:M10"/>
    <mergeCell ref="K9:K10"/>
    <mergeCell ref="N11:N13"/>
    <mergeCell ref="P11:P13"/>
    <mergeCell ref="S11:S13"/>
    <mergeCell ref="R11:R13"/>
    <mergeCell ref="Q11:Q13"/>
    <mergeCell ref="O11:O13"/>
    <mergeCell ref="F16:F17"/>
    <mergeCell ref="F18:F19"/>
    <mergeCell ref="F22:F23"/>
    <mergeCell ref="C24:C25"/>
    <mergeCell ref="E16:E17"/>
    <mergeCell ref="E18:E19"/>
    <mergeCell ref="E22:E23"/>
    <mergeCell ref="E24:E25"/>
    <mergeCell ref="C16:C17"/>
    <mergeCell ref="C22:C23"/>
    <mergeCell ref="D24:D25"/>
    <mergeCell ref="F24:F25"/>
    <mergeCell ref="C18:C19"/>
    <mergeCell ref="J18:J19"/>
    <mergeCell ref="J22:J23"/>
    <mergeCell ref="J24:J25"/>
    <mergeCell ref="R22:R23"/>
    <mergeCell ref="O16:O17"/>
    <mergeCell ref="P16:P17"/>
    <mergeCell ref="Q16:Q17"/>
    <mergeCell ref="R16:R17"/>
    <mergeCell ref="K16:K17"/>
    <mergeCell ref="L24:L25"/>
    <mergeCell ref="L16:L17"/>
    <mergeCell ref="L18:L19"/>
    <mergeCell ref="L22:L23"/>
    <mergeCell ref="N24:N25"/>
    <mergeCell ref="O24:O25"/>
    <mergeCell ref="P24:P25"/>
    <mergeCell ref="Q24:Q25"/>
    <mergeCell ref="R24:R25"/>
    <mergeCell ref="M22:M23"/>
    <mergeCell ref="M24:M25"/>
    <mergeCell ref="D29:D30"/>
    <mergeCell ref="E29:E30"/>
    <mergeCell ref="AJ29:AJ30"/>
    <mergeCell ref="G29:G30"/>
    <mergeCell ref="H29:H30"/>
    <mergeCell ref="I29:I30"/>
    <mergeCell ref="AK18:AK19"/>
    <mergeCell ref="AK22:AK23"/>
    <mergeCell ref="AJ24:AJ25"/>
    <mergeCell ref="AK24:AK25"/>
    <mergeCell ref="K18:K19"/>
    <mergeCell ref="K22:K23"/>
    <mergeCell ref="K24:K25"/>
    <mergeCell ref="G18:G19"/>
    <mergeCell ref="H18:H19"/>
    <mergeCell ref="I18:I19"/>
    <mergeCell ref="N18:N19"/>
    <mergeCell ref="O18:O19"/>
    <mergeCell ref="P18:P19"/>
    <mergeCell ref="Q18:Q19"/>
    <mergeCell ref="R18:R19"/>
    <mergeCell ref="S18:S19"/>
    <mergeCell ref="S22:S23"/>
    <mergeCell ref="O29:O30"/>
    <mergeCell ref="AJ16:AJ17"/>
    <mergeCell ref="AK16:AK17"/>
    <mergeCell ref="AJ18:AJ19"/>
    <mergeCell ref="AJ22:AJ23"/>
    <mergeCell ref="G22:G23"/>
    <mergeCell ref="H22:H23"/>
    <mergeCell ref="I22:I23"/>
    <mergeCell ref="G24:G25"/>
    <mergeCell ref="B14:B28"/>
    <mergeCell ref="D16:D17"/>
    <mergeCell ref="D18:D19"/>
    <mergeCell ref="D22:D23"/>
    <mergeCell ref="G16:G17"/>
    <mergeCell ref="H16:H17"/>
    <mergeCell ref="I16:I17"/>
    <mergeCell ref="S16:S17"/>
    <mergeCell ref="N16:N17"/>
    <mergeCell ref="N22:N23"/>
    <mergeCell ref="O22:O23"/>
    <mergeCell ref="P22:P23"/>
    <mergeCell ref="Q22:Q23"/>
    <mergeCell ref="M16:M17"/>
    <mergeCell ref="M18:M19"/>
    <mergeCell ref="J16:J17"/>
    <mergeCell ref="P29:P30"/>
    <mergeCell ref="Q29:Q30"/>
    <mergeCell ref="R29:R30"/>
    <mergeCell ref="S29:S30"/>
    <mergeCell ref="L29:L30"/>
    <mergeCell ref="B33:B36"/>
    <mergeCell ref="C33:C36"/>
    <mergeCell ref="G44:G45"/>
    <mergeCell ref="H44:H45"/>
    <mergeCell ref="I44:I45"/>
    <mergeCell ref="L44:L45"/>
    <mergeCell ref="N44:N45"/>
    <mergeCell ref="O44:O45"/>
    <mergeCell ref="P44:P45"/>
    <mergeCell ref="Q44:Q45"/>
    <mergeCell ref="R44:R45"/>
    <mergeCell ref="S44:S45"/>
    <mergeCell ref="B37:B53"/>
    <mergeCell ref="B29:B32"/>
    <mergeCell ref="C29:C32"/>
    <mergeCell ref="M29:M30"/>
    <mergeCell ref="N29:N30"/>
    <mergeCell ref="F29:F30"/>
    <mergeCell ref="C51:C52"/>
    <mergeCell ref="C44:C45"/>
    <mergeCell ref="F51:F52"/>
    <mergeCell ref="F44:F45"/>
    <mergeCell ref="E44:E45"/>
    <mergeCell ref="E51:E52"/>
    <mergeCell ref="J44:J45"/>
    <mergeCell ref="G51:G52"/>
    <mergeCell ref="H51:H52"/>
    <mergeCell ref="N51:N52"/>
    <mergeCell ref="P51:P52"/>
    <mergeCell ref="Q51:Q52"/>
    <mergeCell ref="R51:R52"/>
    <mergeCell ref="AJ51:AJ52"/>
    <mergeCell ref="D44:D45"/>
    <mergeCell ref="D51:D52"/>
    <mergeCell ref="M51:M52"/>
    <mergeCell ref="M44:M45"/>
    <mergeCell ref="S51:S52"/>
    <mergeCell ref="I51:I52"/>
    <mergeCell ref="B54:B55"/>
    <mergeCell ref="C54:C55"/>
    <mergeCell ref="K51:K52"/>
    <mergeCell ref="J51:J52"/>
    <mergeCell ref="K44:K45"/>
    <mergeCell ref="L51:L52"/>
    <mergeCell ref="I56:I57"/>
    <mergeCell ref="G58:G59"/>
    <mergeCell ref="H58:H59"/>
    <mergeCell ref="I58:I59"/>
    <mergeCell ref="B56:B61"/>
    <mergeCell ref="D56:D57"/>
    <mergeCell ref="D58:D59"/>
    <mergeCell ref="D60:D61"/>
    <mergeCell ref="C60:C61"/>
    <mergeCell ref="C56:C57"/>
    <mergeCell ref="C58:C59"/>
    <mergeCell ref="E56:E57"/>
    <mergeCell ref="E58:E59"/>
    <mergeCell ref="E60:E61"/>
    <mergeCell ref="F56:F57"/>
    <mergeCell ref="F58:F59"/>
    <mergeCell ref="F60:F61"/>
    <mergeCell ref="L60:L61"/>
    <mergeCell ref="AQ56:AQ57"/>
    <mergeCell ref="AK58:AK59"/>
    <mergeCell ref="AL58:AL59"/>
    <mergeCell ref="AM58:AM59"/>
    <mergeCell ref="AN58:AN59"/>
    <mergeCell ref="AO58:AO59"/>
    <mergeCell ref="AP58:AP59"/>
    <mergeCell ref="AQ58:AQ59"/>
    <mergeCell ref="AK56:AK57"/>
    <mergeCell ref="AL56:AL57"/>
    <mergeCell ref="AM56:AM57"/>
    <mergeCell ref="AN56:AN57"/>
    <mergeCell ref="AO56:AO57"/>
    <mergeCell ref="AP56:AP57"/>
    <mergeCell ref="M60:M61"/>
    <mergeCell ref="N60:N61"/>
    <mergeCell ref="M62:M63"/>
    <mergeCell ref="P56:P57"/>
    <mergeCell ref="K56:K57"/>
    <mergeCell ref="K58:K59"/>
    <mergeCell ref="K60:K61"/>
    <mergeCell ref="J56:J57"/>
    <mergeCell ref="J58:J59"/>
    <mergeCell ref="J60:J61"/>
    <mergeCell ref="N62:N63"/>
    <mergeCell ref="L62:L63"/>
    <mergeCell ref="H62:H63"/>
    <mergeCell ref="I62:I63"/>
    <mergeCell ref="G56:G57"/>
    <mergeCell ref="H56:H57"/>
    <mergeCell ref="AK60:AK61"/>
    <mergeCell ref="E62:E63"/>
    <mergeCell ref="B65:B66"/>
    <mergeCell ref="C65:C66"/>
    <mergeCell ref="K65:K66"/>
    <mergeCell ref="L65:L66"/>
    <mergeCell ref="M65:M66"/>
    <mergeCell ref="D65:D66"/>
    <mergeCell ref="B62:B64"/>
    <mergeCell ref="F62:F63"/>
    <mergeCell ref="C62:C64"/>
    <mergeCell ref="D62:D63"/>
    <mergeCell ref="Q60:Q61"/>
    <mergeCell ref="P62:P63"/>
    <mergeCell ref="Q62:Q63"/>
    <mergeCell ref="O60:O61"/>
    <mergeCell ref="P60:P61"/>
    <mergeCell ref="R60:R61"/>
    <mergeCell ref="S60:S61"/>
    <mergeCell ref="AK65:AK66"/>
    <mergeCell ref="G62:G63"/>
    <mergeCell ref="AP62:AP63"/>
    <mergeCell ref="AQ62:AQ63"/>
    <mergeCell ref="E65:E66"/>
    <mergeCell ref="F65:F66"/>
    <mergeCell ref="J65:J66"/>
    <mergeCell ref="G65:G66"/>
    <mergeCell ref="H65:H66"/>
    <mergeCell ref="I65:I66"/>
    <mergeCell ref="N65:N66"/>
    <mergeCell ref="O65:O66"/>
    <mergeCell ref="P65:P66"/>
    <mergeCell ref="Q65:Q66"/>
    <mergeCell ref="R65:R66"/>
    <mergeCell ref="S65:S66"/>
    <mergeCell ref="AJ65:AJ66"/>
    <mergeCell ref="AJ62:AJ63"/>
    <mergeCell ref="AK62:AK63"/>
    <mergeCell ref="AL62:AL63"/>
    <mergeCell ref="AM62:AM63"/>
    <mergeCell ref="AN62:AN63"/>
    <mergeCell ref="S62:S63"/>
    <mergeCell ref="R62:R63"/>
    <mergeCell ref="K62:K63"/>
    <mergeCell ref="C67:C68"/>
    <mergeCell ref="B69:B70"/>
    <mergeCell ref="C69:C70"/>
    <mergeCell ref="B67:B68"/>
    <mergeCell ref="B71:B72"/>
    <mergeCell ref="C71:C72"/>
    <mergeCell ref="AN75:AN76"/>
    <mergeCell ref="AO75:AO76"/>
    <mergeCell ref="AP75:AP76"/>
    <mergeCell ref="E75:E76"/>
    <mergeCell ref="D75:D76"/>
    <mergeCell ref="Q75:Q76"/>
    <mergeCell ref="R75:R76"/>
    <mergeCell ref="S75:S76"/>
    <mergeCell ref="I75:I76"/>
    <mergeCell ref="B73:B74"/>
    <mergeCell ref="C73:C74"/>
    <mergeCell ref="B75:B83"/>
    <mergeCell ref="D82:D83"/>
    <mergeCell ref="N82:N83"/>
    <mergeCell ref="O82:O83"/>
    <mergeCell ref="P82:P83"/>
    <mergeCell ref="Q82:Q83"/>
    <mergeCell ref="R82:R83"/>
    <mergeCell ref="AQ75:AQ76"/>
    <mergeCell ref="AK77:AK78"/>
    <mergeCell ref="AL77:AL78"/>
    <mergeCell ref="AM77:AM78"/>
    <mergeCell ref="AN77:AN78"/>
    <mergeCell ref="AO77:AO78"/>
    <mergeCell ref="AP77:AP78"/>
    <mergeCell ref="AQ77:AQ78"/>
    <mergeCell ref="K77:K78"/>
    <mergeCell ref="AL75:AL76"/>
    <mergeCell ref="AM75:AM76"/>
    <mergeCell ref="P77:P78"/>
    <mergeCell ref="S86:S87"/>
    <mergeCell ref="G77:G78"/>
    <mergeCell ref="I77:I78"/>
    <mergeCell ref="C75:C76"/>
    <mergeCell ref="C77:C78"/>
    <mergeCell ref="J86:J87"/>
    <mergeCell ref="E86:E87"/>
    <mergeCell ref="Q77:Q78"/>
    <mergeCell ref="R77:R78"/>
    <mergeCell ref="S77:S78"/>
    <mergeCell ref="H75:H76"/>
    <mergeCell ref="I86:I87"/>
    <mergeCell ref="H77:H78"/>
    <mergeCell ref="J75:J76"/>
    <mergeCell ref="J77:J78"/>
    <mergeCell ref="L75:L76"/>
    <mergeCell ref="M75:M76"/>
    <mergeCell ref="N75:N76"/>
    <mergeCell ref="O75:O76"/>
    <mergeCell ref="P75:P76"/>
    <mergeCell ref="L77:L78"/>
    <mergeCell ref="M77:M78"/>
    <mergeCell ref="N77:N78"/>
    <mergeCell ref="O77:O78"/>
    <mergeCell ref="C89:C90"/>
    <mergeCell ref="E77:E78"/>
    <mergeCell ref="F75:F76"/>
    <mergeCell ref="F77:F78"/>
    <mergeCell ref="B91:B93"/>
    <mergeCell ref="J92:J93"/>
    <mergeCell ref="AK75:AK76"/>
    <mergeCell ref="F86:F87"/>
    <mergeCell ref="G86:G87"/>
    <mergeCell ref="D77:D78"/>
    <mergeCell ref="G75:G76"/>
    <mergeCell ref="H86:H87"/>
    <mergeCell ref="B84:B87"/>
    <mergeCell ref="C84:C87"/>
    <mergeCell ref="AJ75:AJ76"/>
    <mergeCell ref="AJ77:AJ78"/>
    <mergeCell ref="B89:B90"/>
    <mergeCell ref="AJ92:AJ93"/>
    <mergeCell ref="AK92:AK93"/>
    <mergeCell ref="AJ86:AJ87"/>
    <mergeCell ref="O86:O87"/>
    <mergeCell ref="P86:P87"/>
    <mergeCell ref="Q86:Q87"/>
    <mergeCell ref="R86:R87"/>
    <mergeCell ref="S97:S98"/>
    <mergeCell ref="Q92:Q93"/>
    <mergeCell ref="R92:R93"/>
    <mergeCell ref="E92:E93"/>
    <mergeCell ref="E97:E98"/>
    <mergeCell ref="F97:F98"/>
    <mergeCell ref="J97:J98"/>
    <mergeCell ref="L92:L93"/>
    <mergeCell ref="M92:M93"/>
    <mergeCell ref="N92:N93"/>
    <mergeCell ref="O92:O93"/>
    <mergeCell ref="P92:P93"/>
    <mergeCell ref="L86:L87"/>
    <mergeCell ref="M86:M87"/>
    <mergeCell ref="N86:N87"/>
    <mergeCell ref="AK86:AK87"/>
    <mergeCell ref="B101:B102"/>
    <mergeCell ref="C101:C102"/>
    <mergeCell ref="L97:L98"/>
    <mergeCell ref="M97:M98"/>
    <mergeCell ref="N97:N98"/>
    <mergeCell ref="O97:O98"/>
    <mergeCell ref="P97:P98"/>
    <mergeCell ref="Q97:Q98"/>
    <mergeCell ref="R97:R98"/>
    <mergeCell ref="H97:H98"/>
    <mergeCell ref="G97:G98"/>
    <mergeCell ref="F92:F93"/>
    <mergeCell ref="H92:H93"/>
    <mergeCell ref="G92:G93"/>
    <mergeCell ref="S92:S93"/>
    <mergeCell ref="AK97:AK98"/>
    <mergeCell ref="I92:I93"/>
    <mergeCell ref="I97:I98"/>
    <mergeCell ref="D92:D93"/>
    <mergeCell ref="AJ97:AJ98"/>
    <mergeCell ref="D104:D105"/>
    <mergeCell ref="D107:D108"/>
    <mergeCell ref="AQ104:AQ105"/>
    <mergeCell ref="AO104:AO105"/>
    <mergeCell ref="B103:B105"/>
    <mergeCell ref="J104:J105"/>
    <mergeCell ref="L104:L105"/>
    <mergeCell ref="M104:M105"/>
    <mergeCell ref="N104:N105"/>
    <mergeCell ref="O104:O105"/>
    <mergeCell ref="P104:P105"/>
    <mergeCell ref="C104:C105"/>
    <mergeCell ref="G104:G105"/>
    <mergeCell ref="H104:H105"/>
    <mergeCell ref="E104:E105"/>
    <mergeCell ref="F104:F105"/>
    <mergeCell ref="AL104:AL105"/>
    <mergeCell ref="AM104:AM105"/>
    <mergeCell ref="AN104:AN105"/>
    <mergeCell ref="I104:I105"/>
    <mergeCell ref="AO107:AO108"/>
    <mergeCell ref="Q104:Q105"/>
    <mergeCell ref="R104:R105"/>
    <mergeCell ref="S104:S105"/>
    <mergeCell ref="AJ104:AJ105"/>
    <mergeCell ref="AK104:AK105"/>
    <mergeCell ref="AJ82:AJ83"/>
    <mergeCell ref="D110:D111"/>
    <mergeCell ref="C110:C111"/>
    <mergeCell ref="AJ110:AJ111"/>
    <mergeCell ref="C107:C108"/>
    <mergeCell ref="H110:H111"/>
    <mergeCell ref="I110:I111"/>
    <mergeCell ref="F107:F108"/>
    <mergeCell ref="J107:J108"/>
    <mergeCell ref="L107:L108"/>
    <mergeCell ref="M107:M108"/>
    <mergeCell ref="N107:N108"/>
    <mergeCell ref="O107:O108"/>
    <mergeCell ref="G107:G108"/>
    <mergeCell ref="I107:I108"/>
    <mergeCell ref="P107:P108"/>
    <mergeCell ref="K110:K111"/>
    <mergeCell ref="S107:S108"/>
    <mergeCell ref="AJ107:AJ108"/>
    <mergeCell ref="AK107:AK108"/>
    <mergeCell ref="AK110:AK111"/>
    <mergeCell ref="C82:C83"/>
    <mergeCell ref="B109:B111"/>
    <mergeCell ref="AP107:AP108"/>
    <mergeCell ref="AQ107:AQ108"/>
    <mergeCell ref="E110:E111"/>
    <mergeCell ref="F110:F111"/>
    <mergeCell ref="J110:J111"/>
    <mergeCell ref="L110:L111"/>
    <mergeCell ref="M110:M111"/>
    <mergeCell ref="N110:N111"/>
    <mergeCell ref="O110:O111"/>
    <mergeCell ref="P110:P111"/>
    <mergeCell ref="Q110:Q111"/>
    <mergeCell ref="R110:R111"/>
    <mergeCell ref="S110:S111"/>
    <mergeCell ref="Q107:Q108"/>
    <mergeCell ref="R107:R108"/>
    <mergeCell ref="G110:G111"/>
    <mergeCell ref="AL110:AL111"/>
    <mergeCell ref="AM110:AM111"/>
    <mergeCell ref="AN110:AN111"/>
    <mergeCell ref="B106:B108"/>
    <mergeCell ref="E107:E108"/>
    <mergeCell ref="AO110:AO111"/>
    <mergeCell ref="AP110:AP111"/>
    <mergeCell ref="AP104:AP105"/>
    <mergeCell ref="AL107:AL108"/>
    <mergeCell ref="AM107:AM108"/>
    <mergeCell ref="AN107:AN108"/>
    <mergeCell ref="AQ82:AQ83"/>
    <mergeCell ref="AK82:AK83"/>
    <mergeCell ref="AL82:AL83"/>
    <mergeCell ref="AQ110:AQ111"/>
    <mergeCell ref="AM82:AM83"/>
    <mergeCell ref="AN82:AN83"/>
    <mergeCell ref="AO82:AO83"/>
    <mergeCell ref="AP82:AP83"/>
    <mergeCell ref="S82:S83"/>
    <mergeCell ref="E82:E83"/>
    <mergeCell ref="F82:F83"/>
    <mergeCell ref="G82:G83"/>
    <mergeCell ref="H82:H83"/>
    <mergeCell ref="I82:I83"/>
    <mergeCell ref="J82:J83"/>
    <mergeCell ref="K82:K83"/>
    <mergeCell ref="L82:L83"/>
    <mergeCell ref="M82:M83"/>
  </mergeCells>
  <conditionalFormatting sqref="M9 M11">
    <cfRule type="cellIs" dxfId="460" priority="4913" operator="equal">
      <formula>"Muy Alta"</formula>
    </cfRule>
    <cfRule type="cellIs" dxfId="459" priority="4914" operator="equal">
      <formula>"Alta"</formula>
    </cfRule>
    <cfRule type="cellIs" dxfId="458" priority="4915" operator="equal">
      <formula>"Media"</formula>
    </cfRule>
    <cfRule type="cellIs" dxfId="457" priority="4916" operator="equal">
      <formula>"Baja"</formula>
    </cfRule>
    <cfRule type="cellIs" dxfId="456" priority="4917" operator="equal">
      <formula>"Muy Baja"</formula>
    </cfRule>
  </conditionalFormatting>
  <conditionalFormatting sqref="M14:M16">
    <cfRule type="cellIs" dxfId="455" priority="4636" operator="equal">
      <formula>"Muy Alta"</formula>
    </cfRule>
    <cfRule type="cellIs" dxfId="454" priority="4637" operator="equal">
      <formula>"Alta"</formula>
    </cfRule>
    <cfRule type="cellIs" dxfId="453" priority="4638" operator="equal">
      <formula>"Media"</formula>
    </cfRule>
    <cfRule type="cellIs" dxfId="452" priority="4639" operator="equal">
      <formula>"Baja"</formula>
    </cfRule>
    <cfRule type="cellIs" dxfId="451" priority="4640" operator="equal">
      <formula>"Muy Baja"</formula>
    </cfRule>
  </conditionalFormatting>
  <conditionalFormatting sqref="M18">
    <cfRule type="cellIs" dxfId="450" priority="4641" operator="equal">
      <formula>"Muy Alta"</formula>
    </cfRule>
    <cfRule type="cellIs" dxfId="449" priority="4642" operator="equal">
      <formula>"Alta"</formula>
    </cfRule>
    <cfRule type="cellIs" dxfId="448" priority="4643" operator="equal">
      <formula>"Media"</formula>
    </cfRule>
    <cfRule type="cellIs" dxfId="447" priority="4644" operator="equal">
      <formula>"Baja"</formula>
    </cfRule>
    <cfRule type="cellIs" dxfId="446" priority="4645" operator="equal">
      <formula>"Muy Baja"</formula>
    </cfRule>
  </conditionalFormatting>
  <conditionalFormatting sqref="M20:M22">
    <cfRule type="cellIs" dxfId="445" priority="4630" operator="equal">
      <formula>"Muy Baja"</formula>
    </cfRule>
    <cfRule type="cellIs" dxfId="444" priority="4629" operator="equal">
      <formula>"Baja"</formula>
    </cfRule>
    <cfRule type="cellIs" dxfId="443" priority="4627" operator="equal">
      <formula>"Alta"</formula>
    </cfRule>
    <cfRule type="cellIs" dxfId="442" priority="4626" operator="equal">
      <formula>"Muy Alta"</formula>
    </cfRule>
    <cfRule type="cellIs" dxfId="441" priority="4628" operator="equal">
      <formula>"Media"</formula>
    </cfRule>
  </conditionalFormatting>
  <conditionalFormatting sqref="M24">
    <cfRule type="cellIs" dxfId="440" priority="4662" operator="equal">
      <formula>"Alta"</formula>
    </cfRule>
    <cfRule type="cellIs" dxfId="439" priority="4664" operator="equal">
      <formula>"Baja"</formula>
    </cfRule>
    <cfRule type="cellIs" dxfId="438" priority="4665" operator="equal">
      <formula>"Muy Baja"</formula>
    </cfRule>
    <cfRule type="cellIs" dxfId="437" priority="4663" operator="equal">
      <formula>"Media"</formula>
    </cfRule>
    <cfRule type="cellIs" dxfId="436" priority="4661" operator="equal">
      <formula>"Muy Alta"</formula>
    </cfRule>
  </conditionalFormatting>
  <conditionalFormatting sqref="M26:M29">
    <cfRule type="cellIs" dxfId="435" priority="4074" operator="equal">
      <formula>"Muy Baja"</formula>
    </cfRule>
    <cfRule type="cellIs" dxfId="434" priority="4073" operator="equal">
      <formula>"Baja"</formula>
    </cfRule>
    <cfRule type="cellIs" dxfId="433" priority="4072" operator="equal">
      <formula>"Media"</formula>
    </cfRule>
    <cfRule type="cellIs" dxfId="432" priority="4071" operator="equal">
      <formula>"Alta"</formula>
    </cfRule>
    <cfRule type="cellIs" dxfId="431" priority="4070" operator="equal">
      <formula>"Muy Alta"</formula>
    </cfRule>
  </conditionalFormatting>
  <conditionalFormatting sqref="M31:M44">
    <cfRule type="cellIs" dxfId="430" priority="3625" operator="equal">
      <formula>"Alta"</formula>
    </cfRule>
    <cfRule type="cellIs" dxfId="429" priority="3626" operator="equal">
      <formula>"Media"</formula>
    </cfRule>
    <cfRule type="cellIs" dxfId="428" priority="3627" operator="equal">
      <formula>"Baja"</formula>
    </cfRule>
    <cfRule type="cellIs" dxfId="427" priority="3628" operator="equal">
      <formula>"Muy Baja"</formula>
    </cfRule>
    <cfRule type="cellIs" dxfId="426" priority="3624" operator="equal">
      <formula>"Muy Alta"</formula>
    </cfRule>
  </conditionalFormatting>
  <conditionalFormatting sqref="M46:M51">
    <cfRule type="cellIs" dxfId="425" priority="3623" operator="equal">
      <formula>"Muy Baja"</formula>
    </cfRule>
    <cfRule type="cellIs" dxfId="424" priority="3622" operator="equal">
      <formula>"Baja"</formula>
    </cfRule>
    <cfRule type="cellIs" dxfId="423" priority="3621" operator="equal">
      <formula>"Media"</formula>
    </cfRule>
    <cfRule type="cellIs" dxfId="422" priority="3620" operator="equal">
      <formula>"Alta"</formula>
    </cfRule>
    <cfRule type="cellIs" dxfId="421" priority="3619" operator="equal">
      <formula>"Muy Alta"</formula>
    </cfRule>
  </conditionalFormatting>
  <conditionalFormatting sqref="M53:M56">
    <cfRule type="cellIs" dxfId="420" priority="2712" operator="equal">
      <formula>"Muy Baja"</formula>
    </cfRule>
    <cfRule type="cellIs" dxfId="419" priority="2710" operator="equal">
      <formula>"Media"</formula>
    </cfRule>
    <cfRule type="cellIs" dxfId="418" priority="2711" operator="equal">
      <formula>"Baja"</formula>
    </cfRule>
    <cfRule type="cellIs" dxfId="417" priority="2709" operator="equal">
      <formula>"Alta"</formula>
    </cfRule>
    <cfRule type="cellIs" dxfId="416" priority="2708" operator="equal">
      <formula>"Muy Alta"</formula>
    </cfRule>
  </conditionalFormatting>
  <conditionalFormatting sqref="M58">
    <cfRule type="cellIs" dxfId="415" priority="2724" operator="equal">
      <formula>"Media"</formula>
    </cfRule>
    <cfRule type="cellIs" dxfId="414" priority="2725" operator="equal">
      <formula>"Baja"</formula>
    </cfRule>
    <cfRule type="cellIs" dxfId="413" priority="2726" operator="equal">
      <formula>"Muy Baja"</formula>
    </cfRule>
    <cfRule type="cellIs" dxfId="412" priority="2723" operator="equal">
      <formula>"Alta"</formula>
    </cfRule>
    <cfRule type="cellIs" dxfId="411" priority="2722" operator="equal">
      <formula>"Muy Alta"</formula>
    </cfRule>
  </conditionalFormatting>
  <conditionalFormatting sqref="M60">
    <cfRule type="cellIs" dxfId="410" priority="2740" operator="equal">
      <formula>"Muy Baja"</formula>
    </cfRule>
    <cfRule type="cellIs" dxfId="409" priority="2739" operator="equal">
      <formula>"Baja"</formula>
    </cfRule>
    <cfRule type="cellIs" dxfId="408" priority="2736" operator="equal">
      <formula>"Muy Alta"</formula>
    </cfRule>
    <cfRule type="cellIs" dxfId="407" priority="2738" operator="equal">
      <formula>"Media"</formula>
    </cfRule>
    <cfRule type="cellIs" dxfId="406" priority="2737" operator="equal">
      <formula>"Alta"</formula>
    </cfRule>
  </conditionalFormatting>
  <conditionalFormatting sqref="M62">
    <cfRule type="cellIs" dxfId="405" priority="2539" operator="equal">
      <formula>"Baja"</formula>
    </cfRule>
    <cfRule type="cellIs" dxfId="404" priority="2536" operator="equal">
      <formula>"Muy Alta"</formula>
    </cfRule>
    <cfRule type="cellIs" dxfId="403" priority="2537" operator="equal">
      <formula>"Alta"</formula>
    </cfRule>
    <cfRule type="cellIs" dxfId="402" priority="2538" operator="equal">
      <formula>"Media"</formula>
    </cfRule>
    <cfRule type="cellIs" dxfId="401" priority="2540" operator="equal">
      <formula>"Muy Baja"</formula>
    </cfRule>
  </conditionalFormatting>
  <conditionalFormatting sqref="M64:M65">
    <cfRule type="cellIs" dxfId="400" priority="2456" operator="equal">
      <formula>"Muy Alta"</formula>
    </cfRule>
    <cfRule type="cellIs" dxfId="399" priority="2457" operator="equal">
      <formula>"Alta"</formula>
    </cfRule>
    <cfRule type="cellIs" dxfId="398" priority="2458" operator="equal">
      <formula>"Media"</formula>
    </cfRule>
    <cfRule type="cellIs" dxfId="397" priority="2460" operator="equal">
      <formula>"Muy Baja"</formula>
    </cfRule>
    <cfRule type="cellIs" dxfId="396" priority="2459" operator="equal">
      <formula>"Baja"</formula>
    </cfRule>
  </conditionalFormatting>
  <conditionalFormatting sqref="M67:M75">
    <cfRule type="cellIs" dxfId="395" priority="140" operator="equal">
      <formula>"Alta"</formula>
    </cfRule>
    <cfRule type="cellIs" dxfId="394" priority="141" operator="equal">
      <formula>"Media"</formula>
    </cfRule>
    <cfRule type="cellIs" dxfId="393" priority="142" operator="equal">
      <formula>"Baja"</formula>
    </cfRule>
    <cfRule type="cellIs" dxfId="392" priority="143" operator="equal">
      <formula>"Muy Baja"</formula>
    </cfRule>
    <cfRule type="cellIs" dxfId="391" priority="139" operator="equal">
      <formula>"Muy Alta"</formula>
    </cfRule>
  </conditionalFormatting>
  <conditionalFormatting sqref="M77">
    <cfRule type="cellIs" dxfId="390" priority="1769" operator="equal">
      <formula>"Baja"</formula>
    </cfRule>
    <cfRule type="cellIs" dxfId="389" priority="1768" operator="equal">
      <formula>"Media"</formula>
    </cfRule>
    <cfRule type="cellIs" dxfId="388" priority="1767" operator="equal">
      <formula>"Alta"</formula>
    </cfRule>
    <cfRule type="cellIs" dxfId="387" priority="1766" operator="equal">
      <formula>"Muy Alta"</formula>
    </cfRule>
    <cfRule type="cellIs" dxfId="386" priority="1770" operator="equal">
      <formula>"Muy Baja"</formula>
    </cfRule>
  </conditionalFormatting>
  <conditionalFormatting sqref="M79:M82">
    <cfRule type="cellIs" dxfId="385" priority="205" operator="equal">
      <formula>"Muy Alta"</formula>
    </cfRule>
    <cfRule type="cellIs" dxfId="384" priority="206" operator="equal">
      <formula>"Alta"</formula>
    </cfRule>
    <cfRule type="cellIs" dxfId="383" priority="207" operator="equal">
      <formula>"Media"</formula>
    </cfRule>
    <cfRule type="cellIs" dxfId="382" priority="208" operator="equal">
      <formula>"Baja"</formula>
    </cfRule>
    <cfRule type="cellIs" dxfId="381" priority="209" operator="equal">
      <formula>"Muy Baja"</formula>
    </cfRule>
  </conditionalFormatting>
  <conditionalFormatting sqref="M84:M86">
    <cfRule type="cellIs" dxfId="380" priority="344" operator="equal">
      <formula>"Muy Baja"</formula>
    </cfRule>
    <cfRule type="cellIs" dxfId="379" priority="342" operator="equal">
      <formula>"Media"</formula>
    </cfRule>
    <cfRule type="cellIs" dxfId="378" priority="341" operator="equal">
      <formula>"Alta"</formula>
    </cfRule>
    <cfRule type="cellIs" dxfId="377" priority="340" operator="equal">
      <formula>"Muy Alta"</formula>
    </cfRule>
    <cfRule type="cellIs" dxfId="376" priority="343" operator="equal">
      <formula>"Baja"</formula>
    </cfRule>
  </conditionalFormatting>
  <conditionalFormatting sqref="M88:M92">
    <cfRule type="cellIs" dxfId="375" priority="1233" operator="equal">
      <formula>"Media"</formula>
    </cfRule>
    <cfRule type="cellIs" dxfId="374" priority="1234" operator="equal">
      <formula>"Baja"</formula>
    </cfRule>
    <cfRule type="cellIs" dxfId="373" priority="1235" operator="equal">
      <formula>"Muy Baja"</formula>
    </cfRule>
    <cfRule type="cellIs" dxfId="372" priority="1231" operator="equal">
      <formula>"Muy Alta"</formula>
    </cfRule>
    <cfRule type="cellIs" dxfId="371" priority="1232" operator="equal">
      <formula>"Alta"</formula>
    </cfRule>
  </conditionalFormatting>
  <conditionalFormatting sqref="M94:M97">
    <cfRule type="cellIs" dxfId="370" priority="1096" operator="equal">
      <formula>"Alta"</formula>
    </cfRule>
    <cfRule type="cellIs" dxfId="369" priority="1098" operator="equal">
      <formula>"Baja"</formula>
    </cfRule>
    <cfRule type="cellIs" dxfId="368" priority="1099" operator="equal">
      <formula>"Muy Baja"</formula>
    </cfRule>
    <cfRule type="cellIs" dxfId="367" priority="1097" operator="equal">
      <formula>"Media"</formula>
    </cfRule>
    <cfRule type="cellIs" dxfId="366" priority="1095" operator="equal">
      <formula>"Muy Alta"</formula>
    </cfRule>
  </conditionalFormatting>
  <conditionalFormatting sqref="M99:M104">
    <cfRule type="cellIs" dxfId="365" priority="733" operator="equal">
      <formula>"Muy Baja"</formula>
    </cfRule>
    <cfRule type="cellIs" dxfId="364" priority="730" operator="equal">
      <formula>"Alta"</formula>
    </cfRule>
    <cfRule type="cellIs" dxfId="363" priority="731" operator="equal">
      <formula>"Media"</formula>
    </cfRule>
    <cfRule type="cellIs" dxfId="362" priority="729" operator="equal">
      <formula>"Muy Alta"</formula>
    </cfRule>
    <cfRule type="cellIs" dxfId="361" priority="732" operator="equal">
      <formula>"Baja"</formula>
    </cfRule>
  </conditionalFormatting>
  <conditionalFormatting sqref="M106:M107">
    <cfRule type="cellIs" dxfId="360" priority="608" operator="equal">
      <formula>"Alta"</formula>
    </cfRule>
    <cfRule type="cellIs" dxfId="359" priority="609" operator="equal">
      <formula>"Media"</formula>
    </cfRule>
    <cfRule type="cellIs" dxfId="358" priority="610" operator="equal">
      <formula>"Baja"</formula>
    </cfRule>
    <cfRule type="cellIs" dxfId="357" priority="611" operator="equal">
      <formula>"Muy Baja"</formula>
    </cfRule>
    <cfRule type="cellIs" dxfId="356" priority="607" operator="equal">
      <formula>"Muy Alta"</formula>
    </cfRule>
  </conditionalFormatting>
  <conditionalFormatting sqref="M109:M110">
    <cfRule type="cellIs" dxfId="355" priority="501" operator="equal">
      <formula>"Media"</formula>
    </cfRule>
    <cfRule type="cellIs" dxfId="354" priority="502" operator="equal">
      <formula>"Baja"</formula>
    </cfRule>
    <cfRule type="cellIs" dxfId="353" priority="503" operator="equal">
      <formula>"Muy Baja"</formula>
    </cfRule>
    <cfRule type="cellIs" dxfId="352" priority="500" operator="equal">
      <formula>"Alta"</formula>
    </cfRule>
    <cfRule type="cellIs" dxfId="351" priority="499" operator="equal">
      <formula>"Muy Alta"</formula>
    </cfRule>
  </conditionalFormatting>
  <conditionalFormatting sqref="M112:M114 M116">
    <cfRule type="cellIs" dxfId="350" priority="81" operator="equal">
      <formula>"Alta"</formula>
    </cfRule>
    <cfRule type="cellIs" dxfId="349" priority="80" operator="equal">
      <formula>"Muy Alta"</formula>
    </cfRule>
    <cfRule type="cellIs" dxfId="348" priority="84" operator="equal">
      <formula>"Muy Baja"</formula>
    </cfRule>
    <cfRule type="cellIs" dxfId="347" priority="83" operator="equal">
      <formula>"Baja"</formula>
    </cfRule>
    <cfRule type="cellIs" dxfId="346" priority="82" operator="equal">
      <formula>"Media"</formula>
    </cfRule>
  </conditionalFormatting>
  <conditionalFormatting sqref="P9">
    <cfRule type="containsText" dxfId="345" priority="4766" operator="containsText" text="❌">
      <formula>NOT(ISERROR(SEARCH("❌",P9)))</formula>
    </cfRule>
  </conditionalFormatting>
  <conditionalFormatting sqref="P11">
    <cfRule type="containsText" dxfId="344" priority="4751" operator="containsText" text="❌">
      <formula>NOT(ISERROR(SEARCH("❌",P11)))</formula>
    </cfRule>
  </conditionalFormatting>
  <conditionalFormatting sqref="P14:P16">
    <cfRule type="containsText" dxfId="343" priority="4542" operator="containsText" text="❌">
      <formula>NOT(ISERROR(SEARCH("❌",P14)))</formula>
    </cfRule>
  </conditionalFormatting>
  <conditionalFormatting sqref="P18">
    <cfRule type="containsText" dxfId="342" priority="4552" operator="containsText" text="❌">
      <formula>NOT(ISERROR(SEARCH("❌",P18)))</formula>
    </cfRule>
  </conditionalFormatting>
  <conditionalFormatting sqref="P20:P21">
    <cfRule type="containsText" dxfId="341" priority="4522" operator="containsText" text="❌">
      <formula>NOT(ISERROR(SEARCH("❌",P20)))</formula>
    </cfRule>
  </conditionalFormatting>
  <conditionalFormatting sqref="P29">
    <cfRule type="containsText" dxfId="340" priority="4065" operator="containsText" text="❌">
      <formula>NOT(ISERROR(SEARCH("❌",P29)))</formula>
    </cfRule>
  </conditionalFormatting>
  <conditionalFormatting sqref="P31">
    <cfRule type="containsText" dxfId="339" priority="4064" operator="containsText" text="❌">
      <formula>NOT(ISERROR(SEARCH("❌",P31)))</formula>
    </cfRule>
  </conditionalFormatting>
  <conditionalFormatting sqref="P33:P34">
    <cfRule type="containsText" dxfId="338" priority="3882" operator="containsText" text="❌">
      <formula>NOT(ISERROR(SEARCH("❌",P33)))</formula>
    </cfRule>
  </conditionalFormatting>
  <conditionalFormatting sqref="P37:P42">
    <cfRule type="containsText" dxfId="337" priority="3063" operator="containsText" text="❌">
      <formula>NOT(ISERROR(SEARCH("❌",P37)))</formula>
    </cfRule>
  </conditionalFormatting>
  <conditionalFormatting sqref="P54:P56">
    <cfRule type="containsText" dxfId="336" priority="2703" operator="containsText" text="❌">
      <formula>NOT(ISERROR(SEARCH("❌",P54)))</formula>
    </cfRule>
  </conditionalFormatting>
  <conditionalFormatting sqref="P58">
    <cfRule type="containsText" dxfId="335" priority="2702" operator="containsText" text="❌">
      <formula>NOT(ISERROR(SEARCH("❌",P58)))</formula>
    </cfRule>
  </conditionalFormatting>
  <conditionalFormatting sqref="P62">
    <cfRule type="containsText" dxfId="334" priority="2531" operator="containsText" text="❌">
      <formula>NOT(ISERROR(SEARCH("❌",P62)))</formula>
    </cfRule>
  </conditionalFormatting>
  <conditionalFormatting sqref="P64:P65">
    <cfRule type="containsText" dxfId="333" priority="2451" operator="containsText" text="❌">
      <formula>NOT(ISERROR(SEARCH("❌",P64)))</formula>
    </cfRule>
  </conditionalFormatting>
  <conditionalFormatting sqref="P67:P75">
    <cfRule type="containsText" dxfId="332" priority="115" operator="containsText" text="❌">
      <formula>NOT(ISERROR(SEARCH("❌",P67)))</formula>
    </cfRule>
  </conditionalFormatting>
  <conditionalFormatting sqref="P77">
    <cfRule type="containsText" dxfId="331" priority="1746" operator="containsText" text="❌">
      <formula>NOT(ISERROR(SEARCH("❌",P77)))</formula>
    </cfRule>
  </conditionalFormatting>
  <conditionalFormatting sqref="P81:P82">
    <cfRule type="containsText" dxfId="330" priority="199" operator="containsText" text="❌">
      <formula>NOT(ISERROR(SEARCH("❌",P81)))</formula>
    </cfRule>
  </conditionalFormatting>
  <conditionalFormatting sqref="P84">
    <cfRule type="containsText" dxfId="329" priority="1611" operator="containsText" text="❌">
      <formula>NOT(ISERROR(SEARCH("❌",P84)))</formula>
    </cfRule>
  </conditionalFormatting>
  <conditionalFormatting sqref="P88:P92 P94:P95">
    <cfRule type="containsText" dxfId="328" priority="1225" operator="containsText" text="❌">
      <formula>NOT(ISERROR(SEARCH("❌",P88)))</formula>
    </cfRule>
  </conditionalFormatting>
  <conditionalFormatting sqref="P101:P104">
    <cfRule type="containsText" dxfId="327" priority="723" operator="containsText" text="❌">
      <formula>NOT(ISERROR(SEARCH("❌",P101)))</formula>
    </cfRule>
  </conditionalFormatting>
  <conditionalFormatting sqref="P106:P107">
    <cfRule type="containsText" dxfId="326" priority="601" operator="containsText" text="❌">
      <formula>NOT(ISERROR(SEARCH("❌",P106)))</formula>
    </cfRule>
  </conditionalFormatting>
  <conditionalFormatting sqref="P109:P110">
    <cfRule type="containsText" dxfId="325" priority="493" operator="containsText" text="❌">
      <formula>NOT(ISERROR(SEARCH("❌",P109)))</formula>
    </cfRule>
  </conditionalFormatting>
  <conditionalFormatting sqref="P112:P114 P116">
    <cfRule type="containsText" dxfId="324" priority="78" operator="containsText" text="❌">
      <formula>NOT(ISERROR(SEARCH("❌",P112)))</formula>
    </cfRule>
  </conditionalFormatting>
  <conditionalFormatting sqref="Q9 Q11">
    <cfRule type="cellIs" dxfId="323" priority="4922" operator="equal">
      <formula>"Leve"</formula>
    </cfRule>
    <cfRule type="cellIs" dxfId="322" priority="4919" operator="equal">
      <formula>"Mayor"</formula>
    </cfRule>
    <cfRule type="cellIs" dxfId="321" priority="4920" operator="equal">
      <formula>"Moderado"</formula>
    </cfRule>
    <cfRule type="cellIs" dxfId="320" priority="4918" operator="equal">
      <formula>"Catastrófico"</formula>
    </cfRule>
    <cfRule type="cellIs" dxfId="319" priority="4921" operator="equal">
      <formula>"Menor"</formula>
    </cfRule>
  </conditionalFormatting>
  <conditionalFormatting sqref="Q14:Q16">
    <cfRule type="cellIs" dxfId="318" priority="226" operator="equal">
      <formula>"Moderado"</formula>
    </cfRule>
    <cfRule type="cellIs" dxfId="317" priority="225" operator="equal">
      <formula>"Mayor"</formula>
    </cfRule>
    <cfRule type="cellIs" dxfId="316" priority="224" operator="equal">
      <formula>"Catastrófico"</formula>
    </cfRule>
    <cfRule type="cellIs" dxfId="315" priority="227" operator="equal">
      <formula>"Menor"</formula>
    </cfRule>
    <cfRule type="cellIs" dxfId="314" priority="228" operator="equal">
      <formula>"Leve"</formula>
    </cfRule>
  </conditionalFormatting>
  <conditionalFormatting sqref="Q18">
    <cfRule type="cellIs" dxfId="313" priority="2030" operator="equal">
      <formula>"Mayor"</formula>
    </cfRule>
    <cfRule type="cellIs" dxfId="312" priority="2031" operator="equal">
      <formula>"Moderado"</formula>
    </cfRule>
    <cfRule type="cellIs" dxfId="311" priority="2032" operator="equal">
      <formula>"Menor"</formula>
    </cfRule>
    <cfRule type="cellIs" dxfId="310" priority="2033" operator="equal">
      <formula>"Leve"</formula>
    </cfRule>
    <cfRule type="cellIs" dxfId="309" priority="2029" operator="equal">
      <formula>"Catastrófico"</formula>
    </cfRule>
  </conditionalFormatting>
  <conditionalFormatting sqref="Q20:Q22">
    <cfRule type="cellIs" dxfId="308" priority="2015" operator="equal">
      <formula>"Mayor"</formula>
    </cfRule>
    <cfRule type="cellIs" dxfId="307" priority="2018" operator="equal">
      <formula>"Leve"</formula>
    </cfRule>
    <cfRule type="cellIs" dxfId="306" priority="2017" operator="equal">
      <formula>"Menor"</formula>
    </cfRule>
    <cfRule type="cellIs" dxfId="305" priority="2014" operator="equal">
      <formula>"Catastrófico"</formula>
    </cfRule>
    <cfRule type="cellIs" dxfId="304" priority="2016" operator="equal">
      <formula>"Moderado"</formula>
    </cfRule>
  </conditionalFormatting>
  <conditionalFormatting sqref="Q24">
    <cfRule type="cellIs" dxfId="303" priority="2009" operator="equal">
      <formula>"Catastrófico"</formula>
    </cfRule>
    <cfRule type="cellIs" dxfId="302" priority="2011" operator="equal">
      <formula>"Moderado"</formula>
    </cfRule>
    <cfRule type="cellIs" dxfId="301" priority="2012" operator="equal">
      <formula>"Menor"</formula>
    </cfRule>
    <cfRule type="cellIs" dxfId="300" priority="2013" operator="equal">
      <formula>"Leve"</formula>
    </cfRule>
    <cfRule type="cellIs" dxfId="299" priority="2010" operator="equal">
      <formula>"Mayor"</formula>
    </cfRule>
  </conditionalFormatting>
  <conditionalFormatting sqref="Q26:Q29">
    <cfRule type="cellIs" dxfId="298" priority="1990" operator="equal">
      <formula>"Mayor"</formula>
    </cfRule>
    <cfRule type="cellIs" dxfId="297" priority="1991" operator="equal">
      <formula>"Moderado"</formula>
    </cfRule>
    <cfRule type="cellIs" dxfId="296" priority="1992" operator="equal">
      <formula>"Menor"</formula>
    </cfRule>
    <cfRule type="cellIs" dxfId="295" priority="1993" operator="equal">
      <formula>"Leve"</formula>
    </cfRule>
    <cfRule type="cellIs" dxfId="294" priority="1989" operator="equal">
      <formula>"Catastrófico"</formula>
    </cfRule>
  </conditionalFormatting>
  <conditionalFormatting sqref="Q31:Q44">
    <cfRule type="cellIs" dxfId="293" priority="1922" operator="equal">
      <formula>"Menor"</formula>
    </cfRule>
    <cfRule type="cellIs" dxfId="292" priority="1923" operator="equal">
      <formula>"Leve"</formula>
    </cfRule>
    <cfRule type="cellIs" dxfId="291" priority="1920" operator="equal">
      <formula>"Mayor"</formula>
    </cfRule>
    <cfRule type="cellIs" dxfId="290" priority="1919" operator="equal">
      <formula>"Catastrófico"</formula>
    </cfRule>
    <cfRule type="cellIs" dxfId="289" priority="1921" operator="equal">
      <formula>"Moderado"</formula>
    </cfRule>
  </conditionalFormatting>
  <conditionalFormatting sqref="Q46:Q51">
    <cfRule type="cellIs" dxfId="288" priority="1889" operator="equal">
      <formula>"Catastrófico"</formula>
    </cfRule>
    <cfRule type="cellIs" dxfId="287" priority="1890" operator="equal">
      <formula>"Mayor"</formula>
    </cfRule>
    <cfRule type="cellIs" dxfId="286" priority="1891" operator="equal">
      <formula>"Moderado"</formula>
    </cfRule>
    <cfRule type="cellIs" dxfId="285" priority="1893" operator="equal">
      <formula>"Leve"</formula>
    </cfRule>
    <cfRule type="cellIs" dxfId="284" priority="1892" operator="equal">
      <formula>"Menor"</formula>
    </cfRule>
  </conditionalFormatting>
  <conditionalFormatting sqref="Q53:Q56">
    <cfRule type="cellIs" dxfId="283" priority="1872" operator="equal">
      <formula>"Menor"</formula>
    </cfRule>
    <cfRule type="cellIs" dxfId="282" priority="1873" operator="equal">
      <formula>"Leve"</formula>
    </cfRule>
    <cfRule type="cellIs" dxfId="281" priority="1870" operator="equal">
      <formula>"Mayor"</formula>
    </cfRule>
    <cfRule type="cellIs" dxfId="280" priority="1869" operator="equal">
      <formula>"Catastrófico"</formula>
    </cfRule>
    <cfRule type="cellIs" dxfId="279" priority="1871" operator="equal">
      <formula>"Moderado"</formula>
    </cfRule>
  </conditionalFormatting>
  <conditionalFormatting sqref="Q58">
    <cfRule type="cellIs" dxfId="278" priority="1866" operator="equal">
      <formula>"Moderado"</formula>
    </cfRule>
    <cfRule type="cellIs" dxfId="277" priority="1865" operator="equal">
      <formula>"Mayor"</formula>
    </cfRule>
    <cfRule type="cellIs" dxfId="276" priority="1864" operator="equal">
      <formula>"Catastrófico"</formula>
    </cfRule>
    <cfRule type="cellIs" dxfId="275" priority="1867" operator="equal">
      <formula>"Menor"</formula>
    </cfRule>
    <cfRule type="cellIs" dxfId="274" priority="1868" operator="equal">
      <formula>"Leve"</formula>
    </cfRule>
  </conditionalFormatting>
  <conditionalFormatting sqref="Q60">
    <cfRule type="cellIs" dxfId="273" priority="1863" operator="equal">
      <formula>"Leve"</formula>
    </cfRule>
    <cfRule type="cellIs" dxfId="272" priority="1859" operator="equal">
      <formula>"Catastrófico"</formula>
    </cfRule>
    <cfRule type="cellIs" dxfId="271" priority="1860" operator="equal">
      <formula>"Mayor"</formula>
    </cfRule>
    <cfRule type="cellIs" dxfId="270" priority="1861" operator="equal">
      <formula>"Moderado"</formula>
    </cfRule>
    <cfRule type="cellIs" dxfId="269" priority="1862" operator="equal">
      <formula>"Menor"</formula>
    </cfRule>
  </conditionalFormatting>
  <conditionalFormatting sqref="Q62">
    <cfRule type="cellIs" dxfId="268" priority="1855" operator="equal">
      <formula>"Mayor"</formula>
    </cfRule>
    <cfRule type="cellIs" dxfId="267" priority="1854" operator="equal">
      <formula>"Catastrófico"</formula>
    </cfRule>
    <cfRule type="cellIs" dxfId="266" priority="1856" operator="equal">
      <formula>"Moderado"</formula>
    </cfRule>
    <cfRule type="cellIs" dxfId="265" priority="1857" operator="equal">
      <formula>"Menor"</formula>
    </cfRule>
    <cfRule type="cellIs" dxfId="264" priority="1858" operator="equal">
      <formula>"Leve"</formula>
    </cfRule>
  </conditionalFormatting>
  <conditionalFormatting sqref="Q64:Q65">
    <cfRule type="cellIs" dxfId="263" priority="1844" operator="equal">
      <formula>"Catastrófico"</formula>
    </cfRule>
    <cfRule type="cellIs" dxfId="262" priority="1845" operator="equal">
      <formula>"Mayor"</formula>
    </cfRule>
    <cfRule type="cellIs" dxfId="261" priority="1846" operator="equal">
      <formula>"Moderado"</formula>
    </cfRule>
    <cfRule type="cellIs" dxfId="260" priority="1847" operator="equal">
      <formula>"Menor"</formula>
    </cfRule>
    <cfRule type="cellIs" dxfId="259" priority="1848" operator="equal">
      <formula>"Leve"</formula>
    </cfRule>
  </conditionalFormatting>
  <conditionalFormatting sqref="Q67:Q75">
    <cfRule type="cellIs" dxfId="258" priority="145" operator="equal">
      <formula>"Mayor"</formula>
    </cfRule>
    <cfRule type="cellIs" dxfId="257" priority="146" operator="equal">
      <formula>"Moderado"</formula>
    </cfRule>
    <cfRule type="cellIs" dxfId="256" priority="148" operator="equal">
      <formula>"Leve"</formula>
    </cfRule>
    <cfRule type="cellIs" dxfId="255" priority="147" operator="equal">
      <formula>"Menor"</formula>
    </cfRule>
    <cfRule type="cellIs" dxfId="254" priority="144" operator="equal">
      <formula>"Catastrófico"</formula>
    </cfRule>
  </conditionalFormatting>
  <conditionalFormatting sqref="Q77">
    <cfRule type="cellIs" dxfId="253" priority="2158" operator="equal">
      <formula>"Moderado"</formula>
    </cfRule>
    <cfRule type="cellIs" dxfId="252" priority="2157" operator="equal">
      <formula>"Mayor"</formula>
    </cfRule>
    <cfRule type="cellIs" dxfId="251" priority="2156" operator="equal">
      <formula>"Catastrófico"</formula>
    </cfRule>
    <cfRule type="cellIs" dxfId="250" priority="2159" operator="equal">
      <formula>"Menor"</formula>
    </cfRule>
    <cfRule type="cellIs" dxfId="249" priority="2160" operator="equal">
      <formula>"Leve"</formula>
    </cfRule>
  </conditionalFormatting>
  <conditionalFormatting sqref="Q79:Q82">
    <cfRule type="cellIs" dxfId="248" priority="219" operator="equal">
      <formula>"Catastrófico"</formula>
    </cfRule>
    <cfRule type="cellIs" dxfId="247" priority="221" operator="equal">
      <formula>"Moderado"</formula>
    </cfRule>
    <cfRule type="cellIs" dxfId="246" priority="222" operator="equal">
      <formula>"Menor"</formula>
    </cfRule>
    <cfRule type="cellIs" dxfId="245" priority="223" operator="equal">
      <formula>"Leve"</formula>
    </cfRule>
    <cfRule type="cellIs" dxfId="244" priority="220" operator="equal">
      <formula>"Mayor"</formula>
    </cfRule>
  </conditionalFormatting>
  <conditionalFormatting sqref="Q84:Q86">
    <cfRule type="cellIs" dxfId="243" priority="1600" operator="equal">
      <formula>"Leve"</formula>
    </cfRule>
    <cfRule type="cellIs" dxfId="242" priority="1599" operator="equal">
      <formula>"Menor"</formula>
    </cfRule>
    <cfRule type="cellIs" dxfId="241" priority="1598" operator="equal">
      <formula>"Moderado"</formula>
    </cfRule>
    <cfRule type="cellIs" dxfId="240" priority="1596" operator="equal">
      <formula>"Catastrófico"</formula>
    </cfRule>
    <cfRule type="cellIs" dxfId="239" priority="1597" operator="equal">
      <formula>"Mayor"</formula>
    </cfRule>
  </conditionalFormatting>
  <conditionalFormatting sqref="Q88:Q92">
    <cfRule type="cellIs" dxfId="238" priority="1236" operator="equal">
      <formula>"Catastrófico"</formula>
    </cfRule>
    <cfRule type="cellIs" dxfId="237" priority="1237" operator="equal">
      <formula>"Mayor"</formula>
    </cfRule>
    <cfRule type="cellIs" dxfId="236" priority="1238" operator="equal">
      <formula>"Moderado"</formula>
    </cfRule>
    <cfRule type="cellIs" dxfId="235" priority="1239" operator="equal">
      <formula>"Menor"</formula>
    </cfRule>
    <cfRule type="cellIs" dxfId="234" priority="1240" operator="equal">
      <formula>"Leve"</formula>
    </cfRule>
  </conditionalFormatting>
  <conditionalFormatting sqref="Q94:Q97">
    <cfRule type="cellIs" dxfId="233" priority="284" operator="equal">
      <formula>"Menor"</formula>
    </cfRule>
    <cfRule type="cellIs" dxfId="232" priority="283" operator="equal">
      <formula>"Moderado"</formula>
    </cfRule>
    <cfRule type="cellIs" dxfId="231" priority="285" operator="equal">
      <formula>"Leve"</formula>
    </cfRule>
    <cfRule type="cellIs" dxfId="230" priority="282" operator="equal">
      <formula>"Mayor"</formula>
    </cfRule>
    <cfRule type="cellIs" dxfId="229" priority="281" operator="equal">
      <formula>"Catastrófico"</formula>
    </cfRule>
  </conditionalFormatting>
  <conditionalFormatting sqref="Q99:Q104 Q106:Q107 Q109:Q110">
    <cfRule type="cellIs" dxfId="228" priority="1114" operator="equal">
      <formula>"Catastrófico"</formula>
    </cfRule>
    <cfRule type="cellIs" dxfId="227" priority="1115" operator="equal">
      <formula>"Mayor"</formula>
    </cfRule>
    <cfRule type="cellIs" dxfId="226" priority="1116" operator="equal">
      <formula>"Moderado"</formula>
    </cfRule>
    <cfRule type="cellIs" dxfId="225" priority="1117" operator="equal">
      <formula>"Menor"</formula>
    </cfRule>
    <cfRule type="cellIs" dxfId="224" priority="1118" operator="equal">
      <formula>"Leve"</formula>
    </cfRule>
  </conditionalFormatting>
  <conditionalFormatting sqref="Q112:Q114">
    <cfRule type="cellIs" dxfId="223" priority="63" operator="equal">
      <formula>"Menor"</formula>
    </cfRule>
    <cfRule type="cellIs" dxfId="222" priority="64" operator="equal">
      <formula>"Leve"</formula>
    </cfRule>
    <cfRule type="cellIs" dxfId="221" priority="61" operator="equal">
      <formula>"Mayor"</formula>
    </cfRule>
    <cfRule type="cellIs" dxfId="220" priority="60" operator="equal">
      <formula>"Catastrófico"</formula>
    </cfRule>
    <cfRule type="cellIs" dxfId="219" priority="62" operator="equal">
      <formula>"Moderado"</formula>
    </cfRule>
  </conditionalFormatting>
  <conditionalFormatting sqref="Q116">
    <cfRule type="cellIs" dxfId="218" priority="54" operator="equal">
      <formula>"Menor"</formula>
    </cfRule>
    <cfRule type="cellIs" dxfId="217" priority="53" operator="equal">
      <formula>"Moderado"</formula>
    </cfRule>
    <cfRule type="cellIs" dxfId="216" priority="52" operator="equal">
      <formula>"Mayor"</formula>
    </cfRule>
    <cfRule type="cellIs" dxfId="215" priority="51" operator="equal">
      <formula>"Catastrófico"</formula>
    </cfRule>
    <cfRule type="cellIs" dxfId="214" priority="55" operator="equal">
      <formula>"Leve"</formula>
    </cfRule>
  </conditionalFormatting>
  <conditionalFormatting sqref="S9 AI9:AJ9 S11">
    <cfRule type="cellIs" dxfId="213" priority="4912" operator="equal">
      <formula>"Bajo"</formula>
    </cfRule>
    <cfRule type="cellIs" dxfId="212" priority="4911" operator="equal">
      <formula>"Moderado"</formula>
    </cfRule>
    <cfRule type="cellIs" dxfId="211" priority="4910" operator="equal">
      <formula>"Alto"</formula>
    </cfRule>
    <cfRule type="cellIs" dxfId="210" priority="4909" operator="equal">
      <formula>"Extremo"</formula>
    </cfRule>
  </conditionalFormatting>
  <conditionalFormatting sqref="S14:S16">
    <cfRule type="cellIs" dxfId="209" priority="4543" operator="equal">
      <formula>"Extremo"</formula>
    </cfRule>
    <cfRule type="cellIs" dxfId="208" priority="4546" operator="equal">
      <formula>"Bajo"</formula>
    </cfRule>
    <cfRule type="cellIs" dxfId="207" priority="4544" operator="equal">
      <formula>"Alto"</formula>
    </cfRule>
    <cfRule type="cellIs" dxfId="206" priority="4545" operator="equal">
      <formula>"Moderado"</formula>
    </cfRule>
  </conditionalFormatting>
  <conditionalFormatting sqref="S18">
    <cfRule type="cellIs" dxfId="205" priority="4555" operator="equal">
      <formula>"Moderado"</formula>
    </cfRule>
    <cfRule type="cellIs" dxfId="204" priority="4556" operator="equal">
      <formula>"Bajo"</formula>
    </cfRule>
    <cfRule type="cellIs" dxfId="203" priority="4554" operator="equal">
      <formula>"Alto"</formula>
    </cfRule>
    <cfRule type="cellIs" dxfId="202" priority="4553" operator="equal">
      <formula>"Extremo"</formula>
    </cfRule>
  </conditionalFormatting>
  <conditionalFormatting sqref="S20:S22">
    <cfRule type="cellIs" dxfId="201" priority="4526" operator="equal">
      <formula>"Bajo"</formula>
    </cfRule>
    <cfRule type="cellIs" dxfId="200" priority="4524" operator="equal">
      <formula>"Alto"</formula>
    </cfRule>
    <cfRule type="cellIs" dxfId="199" priority="4525" operator="equal">
      <formula>"Moderado"</formula>
    </cfRule>
    <cfRule type="cellIs" dxfId="198" priority="4523" operator="equal">
      <formula>"Extremo"</formula>
    </cfRule>
  </conditionalFormatting>
  <conditionalFormatting sqref="S24">
    <cfRule type="cellIs" dxfId="197" priority="4592" operator="equal">
      <formula>"Bajo"</formula>
    </cfRule>
    <cfRule type="cellIs" dxfId="196" priority="4591" operator="equal">
      <formula>"Moderado"</formula>
    </cfRule>
    <cfRule type="cellIs" dxfId="195" priority="4590" operator="equal">
      <formula>"Alto"</formula>
    </cfRule>
    <cfRule type="cellIs" dxfId="194" priority="4589" operator="equal">
      <formula>"Extremo"</formula>
    </cfRule>
  </conditionalFormatting>
  <conditionalFormatting sqref="S26:S29">
    <cfRule type="cellIs" dxfId="193" priority="4069" operator="equal">
      <formula>"Bajo"</formula>
    </cfRule>
    <cfRule type="cellIs" dxfId="192" priority="4068" operator="equal">
      <formula>"Moderado"</formula>
    </cfRule>
    <cfRule type="cellIs" dxfId="191" priority="4067" operator="equal">
      <formula>"Alto"</formula>
    </cfRule>
    <cfRule type="cellIs" dxfId="190" priority="4066" operator="equal">
      <formula>"Extremo"</formula>
    </cfRule>
  </conditionalFormatting>
  <conditionalFormatting sqref="S31:S44">
    <cfRule type="cellIs" dxfId="189" priority="3066" operator="equal">
      <formula>"Moderado"</formula>
    </cfRule>
    <cfRule type="cellIs" dxfId="188" priority="3067" operator="equal">
      <formula>"Bajo"</formula>
    </cfRule>
    <cfRule type="cellIs" dxfId="187" priority="3065" operator="equal">
      <formula>"Alto"</formula>
    </cfRule>
    <cfRule type="cellIs" dxfId="186" priority="3064" operator="equal">
      <formula>"Extremo"</formula>
    </cfRule>
  </conditionalFormatting>
  <conditionalFormatting sqref="S46:S51">
    <cfRule type="cellIs" dxfId="185" priority="3041" operator="equal">
      <formula>"Alto"</formula>
    </cfRule>
    <cfRule type="cellIs" dxfId="184" priority="3040" operator="equal">
      <formula>"Extremo"</formula>
    </cfRule>
    <cfRule type="cellIs" dxfId="183" priority="3043" operator="equal">
      <formula>"Bajo"</formula>
    </cfRule>
    <cfRule type="cellIs" dxfId="182" priority="3042" operator="equal">
      <formula>"Moderado"</formula>
    </cfRule>
  </conditionalFormatting>
  <conditionalFormatting sqref="S53:S56">
    <cfRule type="cellIs" dxfId="181" priority="2704" operator="equal">
      <formula>"Extremo"</formula>
    </cfRule>
    <cfRule type="cellIs" dxfId="180" priority="2705" operator="equal">
      <formula>"Alto"</formula>
    </cfRule>
    <cfRule type="cellIs" dxfId="179" priority="2706" operator="equal">
      <formula>"Moderado"</formula>
    </cfRule>
    <cfRule type="cellIs" dxfId="178" priority="2707" operator="equal">
      <formula>"Bajo"</formula>
    </cfRule>
  </conditionalFormatting>
  <conditionalFormatting sqref="S58">
    <cfRule type="cellIs" dxfId="177" priority="2720" operator="equal">
      <formula>"Moderado"</formula>
    </cfRule>
    <cfRule type="cellIs" dxfId="176" priority="2719" operator="equal">
      <formula>"Alto"</formula>
    </cfRule>
    <cfRule type="cellIs" dxfId="175" priority="2721" operator="equal">
      <formula>"Bajo"</formula>
    </cfRule>
    <cfRule type="cellIs" dxfId="174" priority="2718" operator="equal">
      <formula>"Extremo"</formula>
    </cfRule>
  </conditionalFormatting>
  <conditionalFormatting sqref="S60">
    <cfRule type="cellIs" dxfId="173" priority="2735" operator="equal">
      <formula>"Bajo"</formula>
    </cfRule>
    <cfRule type="cellIs" dxfId="172" priority="2734" operator="equal">
      <formula>"Moderado"</formula>
    </cfRule>
    <cfRule type="cellIs" dxfId="171" priority="2733" operator="equal">
      <formula>"Alto"</formula>
    </cfRule>
    <cfRule type="cellIs" dxfId="170" priority="2732" operator="equal">
      <formula>"Extremo"</formula>
    </cfRule>
  </conditionalFormatting>
  <conditionalFormatting sqref="S62">
    <cfRule type="cellIs" dxfId="169" priority="2535" operator="equal">
      <formula>"Bajo"</formula>
    </cfRule>
    <cfRule type="cellIs" dxfId="168" priority="2534" operator="equal">
      <formula>"Moderado"</formula>
    </cfRule>
    <cfRule type="cellIs" dxfId="167" priority="2533" operator="equal">
      <formula>"Alto"</formula>
    </cfRule>
    <cfRule type="cellIs" dxfId="166" priority="2532" operator="equal">
      <formula>"Extremo"</formula>
    </cfRule>
  </conditionalFormatting>
  <conditionalFormatting sqref="S64:S65">
    <cfRule type="cellIs" dxfId="165" priority="2453" operator="equal">
      <formula>"Alto"</formula>
    </cfRule>
    <cfRule type="cellIs" dxfId="164" priority="2452" operator="equal">
      <formula>"Extremo"</formula>
    </cfRule>
    <cfRule type="cellIs" dxfId="163" priority="2454" operator="equal">
      <formula>"Moderado"</formula>
    </cfRule>
    <cfRule type="cellIs" dxfId="162" priority="2455" operator="equal">
      <formula>"Bajo"</formula>
    </cfRule>
  </conditionalFormatting>
  <conditionalFormatting sqref="S67:S75">
    <cfRule type="cellIs" dxfId="161" priority="135" operator="equal">
      <formula>"Extremo"</formula>
    </cfRule>
    <cfRule type="cellIs" dxfId="160" priority="137" operator="equal">
      <formula>"Moderado"</formula>
    </cfRule>
    <cfRule type="cellIs" dxfId="159" priority="138" operator="equal">
      <formula>"Bajo"</formula>
    </cfRule>
    <cfRule type="cellIs" dxfId="158" priority="136" operator="equal">
      <formula>"Alto"</formula>
    </cfRule>
  </conditionalFormatting>
  <conditionalFormatting sqref="S77">
    <cfRule type="cellIs" dxfId="157" priority="1764" operator="equal">
      <formula>"Moderado"</formula>
    </cfRule>
    <cfRule type="cellIs" dxfId="156" priority="1765" operator="equal">
      <formula>"Bajo"</formula>
    </cfRule>
    <cfRule type="cellIs" dxfId="155" priority="1762" operator="equal">
      <formula>"Extremo"</formula>
    </cfRule>
    <cfRule type="cellIs" dxfId="154" priority="1763" operator="equal">
      <formula>"Alto"</formula>
    </cfRule>
  </conditionalFormatting>
  <conditionalFormatting sqref="S79:S82">
    <cfRule type="cellIs" dxfId="153" priority="204" operator="equal">
      <formula>"Bajo"</formula>
    </cfRule>
    <cfRule type="cellIs" dxfId="152" priority="203" operator="equal">
      <formula>"Moderado"</formula>
    </cfRule>
    <cfRule type="cellIs" dxfId="151" priority="202" operator="equal">
      <formula>"Alto"</formula>
    </cfRule>
    <cfRule type="cellIs" dxfId="150" priority="201" operator="equal">
      <formula>"Extremo"</formula>
    </cfRule>
  </conditionalFormatting>
  <conditionalFormatting sqref="S84:S86">
    <cfRule type="cellIs" dxfId="149" priority="1612" operator="equal">
      <formula>"Extremo"</formula>
    </cfRule>
    <cfRule type="cellIs" dxfId="148" priority="1613" operator="equal">
      <formula>"Alto"</formula>
    </cfRule>
    <cfRule type="cellIs" dxfId="147" priority="1614" operator="equal">
      <formula>"Moderado"</formula>
    </cfRule>
    <cfRule type="cellIs" dxfId="146" priority="1615" operator="equal">
      <formula>"Bajo"</formula>
    </cfRule>
  </conditionalFormatting>
  <conditionalFormatting sqref="S88:S92">
    <cfRule type="cellIs" dxfId="145" priority="1228" operator="equal">
      <formula>"Alto"</formula>
    </cfRule>
    <cfRule type="cellIs" dxfId="144" priority="1229" operator="equal">
      <formula>"Moderado"</formula>
    </cfRule>
    <cfRule type="cellIs" dxfId="143" priority="1230" operator="equal">
      <formula>"Bajo"</formula>
    </cfRule>
    <cfRule type="cellIs" dxfId="142" priority="1227" operator="equal">
      <formula>"Extremo"</formula>
    </cfRule>
  </conditionalFormatting>
  <conditionalFormatting sqref="S94:S97">
    <cfRule type="cellIs" dxfId="141" priority="1091" operator="equal">
      <formula>"Extremo"</formula>
    </cfRule>
    <cfRule type="cellIs" dxfId="140" priority="1093" operator="equal">
      <formula>"Moderado"</formula>
    </cfRule>
    <cfRule type="cellIs" dxfId="139" priority="1094" operator="equal">
      <formula>"Bajo"</formula>
    </cfRule>
    <cfRule type="cellIs" dxfId="138" priority="1092" operator="equal">
      <formula>"Alto"</formula>
    </cfRule>
  </conditionalFormatting>
  <conditionalFormatting sqref="S99:S104">
    <cfRule type="cellIs" dxfId="137" priority="726" operator="equal">
      <formula>"Alto"</formula>
    </cfRule>
    <cfRule type="cellIs" dxfId="136" priority="728" operator="equal">
      <formula>"Bajo"</formula>
    </cfRule>
    <cfRule type="cellIs" dxfId="135" priority="725" operator="equal">
      <formula>"Extremo"</formula>
    </cfRule>
    <cfRule type="cellIs" dxfId="134" priority="727" operator="equal">
      <formula>"Moderado"</formula>
    </cfRule>
  </conditionalFormatting>
  <conditionalFormatting sqref="S106:S107">
    <cfRule type="cellIs" dxfId="133" priority="605" operator="equal">
      <formula>"Moderado"</formula>
    </cfRule>
    <cfRule type="cellIs" dxfId="132" priority="606" operator="equal">
      <formula>"Bajo"</formula>
    </cfRule>
    <cfRule type="cellIs" dxfId="131" priority="603" operator="equal">
      <formula>"Extremo"</formula>
    </cfRule>
    <cfRule type="cellIs" dxfId="130" priority="604" operator="equal">
      <formula>"Alto"</formula>
    </cfRule>
  </conditionalFormatting>
  <conditionalFormatting sqref="S109:S110">
    <cfRule type="cellIs" dxfId="129" priority="498" operator="equal">
      <formula>"Bajo"</formula>
    </cfRule>
    <cfRule type="cellIs" dxfId="128" priority="496" operator="equal">
      <formula>"Alto"</formula>
    </cfRule>
    <cfRule type="cellIs" dxfId="127" priority="495" operator="equal">
      <formula>"Extremo"</formula>
    </cfRule>
    <cfRule type="cellIs" dxfId="126" priority="497" operator="equal">
      <formula>"Moderado"</formula>
    </cfRule>
  </conditionalFormatting>
  <conditionalFormatting sqref="S112:S114">
    <cfRule type="cellIs" dxfId="125" priority="68" operator="equal">
      <formula>"Bajo"</formula>
    </cfRule>
    <cfRule type="cellIs" dxfId="124" priority="66" operator="equal">
      <formula>"Alto"</formula>
    </cfRule>
    <cfRule type="cellIs" dxfId="123" priority="67" operator="equal">
      <formula>"Moderado"</formula>
    </cfRule>
    <cfRule type="cellIs" dxfId="122" priority="65" operator="equal">
      <formula>"Extremo"</formula>
    </cfRule>
  </conditionalFormatting>
  <conditionalFormatting sqref="S116">
    <cfRule type="cellIs" dxfId="121" priority="59" operator="equal">
      <formula>"Bajo"</formula>
    </cfRule>
    <cfRule type="cellIs" dxfId="120" priority="58" operator="equal">
      <formula>"Moderado"</formula>
    </cfRule>
    <cfRule type="cellIs" dxfId="119" priority="57" operator="equal">
      <formula>"Alto"</formula>
    </cfRule>
    <cfRule type="cellIs" dxfId="118" priority="56" operator="equal">
      <formula>"Extremo"</formula>
    </cfRule>
  </conditionalFormatting>
  <conditionalFormatting sqref="AE9:AE116">
    <cfRule type="cellIs" dxfId="117" priority="14" operator="equal">
      <formula>"Muy Alta"</formula>
    </cfRule>
    <cfRule type="cellIs" dxfId="116" priority="15" operator="equal">
      <formula>"Alta"</formula>
    </cfRule>
    <cfRule type="cellIs" dxfId="115" priority="16" operator="equal">
      <formula>"Media"</formula>
    </cfRule>
    <cfRule type="cellIs" dxfId="114" priority="17" operator="equal">
      <formula>"Baja"</formula>
    </cfRule>
    <cfRule type="cellIs" dxfId="113" priority="18" operator="equal">
      <formula>"Muy Baja"</formula>
    </cfRule>
  </conditionalFormatting>
  <conditionalFormatting sqref="AG9:AG116">
    <cfRule type="cellIs" dxfId="112" priority="9" operator="equal">
      <formula>"Catastrófico"</formula>
    </cfRule>
    <cfRule type="cellIs" dxfId="111" priority="13" operator="equal">
      <formula>"Leve"</formula>
    </cfRule>
    <cfRule type="cellIs" dxfId="110" priority="12" operator="equal">
      <formula>"Menor"</formula>
    </cfRule>
    <cfRule type="cellIs" dxfId="109" priority="11" operator="equal">
      <formula>"Moderado"</formula>
    </cfRule>
    <cfRule type="cellIs" dxfId="108" priority="10" operator="equal">
      <formula>"Mayor"</formula>
    </cfRule>
  </conditionalFormatting>
  <conditionalFormatting sqref="AI10">
    <cfRule type="cellIs" dxfId="107" priority="4755" operator="equal">
      <formula>"Bajo"</formula>
    </cfRule>
    <cfRule type="cellIs" dxfId="106" priority="4754" operator="equal">
      <formula>"Moderado"</formula>
    </cfRule>
    <cfRule type="cellIs" dxfId="105" priority="4753" operator="equal">
      <formula>"Alto"</formula>
    </cfRule>
    <cfRule type="cellIs" dxfId="104" priority="4752" operator="equal">
      <formula>"Extremo"</formula>
    </cfRule>
  </conditionalFormatting>
  <conditionalFormatting sqref="AI12:AI100">
    <cfRule type="cellIs" dxfId="103" priority="101" operator="equal">
      <formula>"Extremo"</formula>
    </cfRule>
    <cfRule type="cellIs" dxfId="102" priority="104" operator="equal">
      <formula>"Bajo"</formula>
    </cfRule>
    <cfRule type="cellIs" dxfId="101" priority="103" operator="equal">
      <formula>"Moderado"</formula>
    </cfRule>
    <cfRule type="cellIs" dxfId="100" priority="102" operator="equal">
      <formula>"Alto"</formula>
    </cfRule>
  </conditionalFormatting>
  <conditionalFormatting sqref="AI103:AI116">
    <cfRule type="cellIs" dxfId="99" priority="5" operator="equal">
      <formula>"Extremo"</formula>
    </cfRule>
    <cfRule type="cellIs" dxfId="98" priority="6" operator="equal">
      <formula>"Alto"</formula>
    </cfRule>
    <cfRule type="cellIs" dxfId="97" priority="7" operator="equal">
      <formula>"Moderado"</formula>
    </cfRule>
    <cfRule type="cellIs" dxfId="96" priority="8" operator="equal">
      <formula>"Bajo"</formula>
    </cfRule>
  </conditionalFormatting>
  <conditionalFormatting sqref="AI11:AJ11">
    <cfRule type="cellIs" dxfId="95" priority="4711" operator="equal">
      <formula>"Moderado"</formula>
    </cfRule>
    <cfRule type="cellIs" dxfId="94" priority="4712" operator="equal">
      <formula>"Bajo"</formula>
    </cfRule>
    <cfRule type="cellIs" dxfId="93" priority="4709" operator="equal">
      <formula>"Extremo"</formula>
    </cfRule>
    <cfRule type="cellIs" dxfId="92" priority="4710" operator="equal">
      <formula>"Alto"</formula>
    </cfRule>
  </conditionalFormatting>
  <conditionalFormatting sqref="AI101:AJ102">
    <cfRule type="cellIs" dxfId="91" priority="753" operator="equal">
      <formula>"Extremo"</formula>
    </cfRule>
    <cfRule type="cellIs" dxfId="90" priority="755" operator="equal">
      <formula>"Moderado"</formula>
    </cfRule>
    <cfRule type="cellIs" dxfId="89" priority="756" operator="equal">
      <formula>"Bajo"</formula>
    </cfRule>
    <cfRule type="cellIs" dxfId="88" priority="754" operator="equal">
      <formula>"Alto"</formula>
    </cfRule>
  </conditionalFormatting>
  <conditionalFormatting sqref="AJ14:AJ16">
    <cfRule type="cellIs" dxfId="87" priority="4163" operator="equal">
      <formula>"Bajo"</formula>
    </cfRule>
    <cfRule type="cellIs" dxfId="86" priority="4160" operator="equal">
      <formula>"Extremo"</formula>
    </cfRule>
    <cfRule type="cellIs" dxfId="85" priority="4161" operator="equal">
      <formula>"Alto"</formula>
    </cfRule>
    <cfRule type="cellIs" dxfId="84" priority="4162" operator="equal">
      <formula>"Moderado"</formula>
    </cfRule>
  </conditionalFormatting>
  <conditionalFormatting sqref="AJ18">
    <cfRule type="cellIs" dxfId="83" priority="4156" operator="equal">
      <formula>"Extremo"</formula>
    </cfRule>
    <cfRule type="cellIs" dxfId="82" priority="4157" operator="equal">
      <formula>"Alto"</formula>
    </cfRule>
    <cfRule type="cellIs" dxfId="81" priority="4158" operator="equal">
      <formula>"Moderado"</formula>
    </cfRule>
    <cfRule type="cellIs" dxfId="80" priority="4159" operator="equal">
      <formula>"Bajo"</formula>
    </cfRule>
  </conditionalFormatting>
  <conditionalFormatting sqref="AJ20:AJ22">
    <cfRule type="cellIs" dxfId="79" priority="4129" operator="equal">
      <formula>"Alto"</formula>
    </cfRule>
    <cfRule type="cellIs" dxfId="78" priority="4128" operator="equal">
      <formula>"Extremo"</formula>
    </cfRule>
    <cfRule type="cellIs" dxfId="77" priority="4130" operator="equal">
      <formula>"Moderado"</formula>
    </cfRule>
    <cfRule type="cellIs" dxfId="76" priority="4131" operator="equal">
      <formula>"Bajo"</formula>
    </cfRule>
  </conditionalFormatting>
  <conditionalFormatting sqref="AJ24">
    <cfRule type="cellIs" dxfId="75" priority="4124" operator="equal">
      <formula>"Extremo"</formula>
    </cfRule>
    <cfRule type="cellIs" dxfId="74" priority="4125" operator="equal">
      <formula>"Alto"</formula>
    </cfRule>
    <cfRule type="cellIs" dxfId="73" priority="4126" operator="equal">
      <formula>"Moderado"</formula>
    </cfRule>
    <cfRule type="cellIs" dxfId="72" priority="4127" operator="equal">
      <formula>"Bajo"</formula>
    </cfRule>
  </conditionalFormatting>
  <conditionalFormatting sqref="AJ26:AJ29">
    <cfRule type="cellIs" dxfId="71" priority="3936" operator="equal">
      <formula>"Moderado"</formula>
    </cfRule>
    <cfRule type="cellIs" dxfId="70" priority="3935" operator="equal">
      <formula>"Alto"</formula>
    </cfRule>
    <cfRule type="cellIs" dxfId="69" priority="3934" operator="equal">
      <formula>"Extremo"</formula>
    </cfRule>
    <cfRule type="cellIs" dxfId="68" priority="3937" operator="equal">
      <formula>"Bajo"</formula>
    </cfRule>
  </conditionalFormatting>
  <conditionalFormatting sqref="AJ31:AJ51">
    <cfRule type="cellIs" dxfId="67" priority="2878" operator="equal">
      <formula>"Moderado"</formula>
    </cfRule>
    <cfRule type="cellIs" dxfId="66" priority="2876" operator="equal">
      <formula>"Extremo"</formula>
    </cfRule>
    <cfRule type="cellIs" dxfId="65" priority="2879" operator="equal">
      <formula>"Bajo"</formula>
    </cfRule>
    <cfRule type="cellIs" dxfId="64" priority="2877" operator="equal">
      <formula>"Alto"</formula>
    </cfRule>
  </conditionalFormatting>
  <conditionalFormatting sqref="AJ53:AJ56">
    <cfRule type="cellIs" dxfId="63" priority="2575" operator="equal">
      <formula>"Bajo"</formula>
    </cfRule>
    <cfRule type="cellIs" dxfId="62" priority="2574" operator="equal">
      <formula>"Moderado"</formula>
    </cfRule>
    <cfRule type="cellIs" dxfId="61" priority="2573" operator="equal">
      <formula>"Alto"</formula>
    </cfRule>
    <cfRule type="cellIs" dxfId="60" priority="2572" operator="equal">
      <formula>"Extremo"</formula>
    </cfRule>
  </conditionalFormatting>
  <conditionalFormatting sqref="AJ58">
    <cfRule type="cellIs" dxfId="59" priority="2568" operator="equal">
      <formula>"Extremo"</formula>
    </cfRule>
    <cfRule type="cellIs" dxfId="58" priority="2571" operator="equal">
      <formula>"Bajo"</formula>
    </cfRule>
    <cfRule type="cellIs" dxfId="57" priority="2570" operator="equal">
      <formula>"Moderado"</formula>
    </cfRule>
    <cfRule type="cellIs" dxfId="56" priority="2569" operator="equal">
      <formula>"Alto"</formula>
    </cfRule>
  </conditionalFormatting>
  <conditionalFormatting sqref="AJ60">
    <cfRule type="cellIs" dxfId="55" priority="353" operator="equal">
      <formula>"Bajo"</formula>
    </cfRule>
    <cfRule type="cellIs" dxfId="54" priority="352" operator="equal">
      <formula>"Moderado"</formula>
    </cfRule>
    <cfRule type="cellIs" dxfId="53" priority="351" operator="equal">
      <formula>"Alto"</formula>
    </cfRule>
    <cfRule type="cellIs" dxfId="52" priority="350" operator="equal">
      <formula>"Extremo"</formula>
    </cfRule>
  </conditionalFormatting>
  <conditionalFormatting sqref="AJ62">
    <cfRule type="cellIs" dxfId="51" priority="2472" operator="equal">
      <formula>"Moderado"</formula>
    </cfRule>
    <cfRule type="cellIs" dxfId="50" priority="2473" operator="equal">
      <formula>"Bajo"</formula>
    </cfRule>
    <cfRule type="cellIs" dxfId="49" priority="2470" operator="equal">
      <formula>"Extremo"</formula>
    </cfRule>
    <cfRule type="cellIs" dxfId="48" priority="2471" operator="equal">
      <formula>"Alto"</formula>
    </cfRule>
  </conditionalFormatting>
  <conditionalFormatting sqref="AJ64:AJ65">
    <cfRule type="cellIs" dxfId="47" priority="2408" operator="equal">
      <formula>"Bajo"</formula>
    </cfRule>
    <cfRule type="cellIs" dxfId="46" priority="2407" operator="equal">
      <formula>"Moderado"</formula>
    </cfRule>
    <cfRule type="cellIs" dxfId="45" priority="2406" operator="equal">
      <formula>"Alto"</formula>
    </cfRule>
    <cfRule type="cellIs" dxfId="44" priority="2405" operator="equal">
      <formula>"Extremo"</formula>
    </cfRule>
  </conditionalFormatting>
  <conditionalFormatting sqref="AJ67:AJ75">
    <cfRule type="cellIs" dxfId="43" priority="88" operator="equal">
      <formula>"Bajo"</formula>
    </cfRule>
    <cfRule type="cellIs" dxfId="42" priority="87" operator="equal">
      <formula>"Moderado"</formula>
    </cfRule>
    <cfRule type="cellIs" dxfId="41" priority="86" operator="equal">
      <formula>"Alto"</formula>
    </cfRule>
    <cfRule type="cellIs" dxfId="40" priority="85" operator="equal">
      <formula>"Extremo"</formula>
    </cfRule>
  </conditionalFormatting>
  <conditionalFormatting sqref="AJ77">
    <cfRule type="cellIs" dxfId="39" priority="1654" operator="equal">
      <formula>"Extremo"</formula>
    </cfRule>
    <cfRule type="cellIs" dxfId="38" priority="1655" operator="equal">
      <formula>"Alto"</formula>
    </cfRule>
    <cfRule type="cellIs" dxfId="37" priority="1656" operator="equal">
      <formula>"Moderado"</formula>
    </cfRule>
    <cfRule type="cellIs" dxfId="36" priority="1657" operator="equal">
      <formula>"Bajo"</formula>
    </cfRule>
  </conditionalFormatting>
  <conditionalFormatting sqref="AJ79:AJ82">
    <cfRule type="cellIs" dxfId="35" priority="89" operator="equal">
      <formula>"Extremo"</formula>
    </cfRule>
    <cfRule type="cellIs" dxfId="34" priority="90" operator="equal">
      <formula>"Alto"</formula>
    </cfRule>
    <cfRule type="cellIs" dxfId="33" priority="92" operator="equal">
      <formula>"Bajo"</formula>
    </cfRule>
    <cfRule type="cellIs" dxfId="32" priority="91" operator="equal">
      <formula>"Moderado"</formula>
    </cfRule>
  </conditionalFormatting>
  <conditionalFormatting sqref="AJ84:AJ86">
    <cfRule type="cellIs" dxfId="31" priority="1267" operator="equal">
      <formula>"Extremo"</formula>
    </cfRule>
    <cfRule type="cellIs" dxfId="30" priority="1268" operator="equal">
      <formula>"Alto"</formula>
    </cfRule>
    <cfRule type="cellIs" dxfId="29" priority="1270" operator="equal">
      <formula>"Bajo"</formula>
    </cfRule>
    <cfRule type="cellIs" dxfId="28" priority="1269" operator="equal">
      <formula>"Moderado"</formula>
    </cfRule>
  </conditionalFormatting>
  <conditionalFormatting sqref="AJ88:AJ92">
    <cfRule type="cellIs" dxfId="27" priority="1150" operator="equal">
      <formula>"Bajo"</formula>
    </cfRule>
    <cfRule type="cellIs" dxfId="26" priority="1147" operator="equal">
      <formula>"Extremo"</formula>
    </cfRule>
    <cfRule type="cellIs" dxfId="25" priority="1148" operator="equal">
      <formula>"Alto"</formula>
    </cfRule>
    <cfRule type="cellIs" dxfId="24" priority="1149" operator="equal">
      <formula>"Moderado"</formula>
    </cfRule>
  </conditionalFormatting>
  <conditionalFormatting sqref="AJ94:AJ97">
    <cfRule type="cellIs" dxfId="23" priority="847" operator="equal">
      <formula>"Extremo"</formula>
    </cfRule>
    <cfRule type="cellIs" dxfId="22" priority="848" operator="equal">
      <formula>"Alto"</formula>
    </cfRule>
    <cfRule type="cellIs" dxfId="21" priority="850" operator="equal">
      <formula>"Bajo"</formula>
    </cfRule>
    <cfRule type="cellIs" dxfId="20" priority="849" operator="equal">
      <formula>"Moderado"</formula>
    </cfRule>
  </conditionalFormatting>
  <conditionalFormatting sqref="AJ99:AJ100">
    <cfRule type="cellIs" dxfId="19" priority="246" operator="equal">
      <formula>"Bajo"</formula>
    </cfRule>
    <cfRule type="cellIs" dxfId="18" priority="244" operator="equal">
      <formula>"Alto"</formula>
    </cfRule>
    <cfRule type="cellIs" dxfId="17" priority="243" operator="equal">
      <formula>"Extremo"</formula>
    </cfRule>
    <cfRule type="cellIs" dxfId="16" priority="245" operator="equal">
      <formula>"Moderado"</formula>
    </cfRule>
  </conditionalFormatting>
  <conditionalFormatting sqref="AJ103:AJ104">
    <cfRule type="cellIs" dxfId="15" priority="631" operator="equal">
      <formula>"Extremo"</formula>
    </cfRule>
    <cfRule type="cellIs" dxfId="14" priority="632" operator="equal">
      <formula>"Alto"</formula>
    </cfRule>
    <cfRule type="cellIs" dxfId="13" priority="633" operator="equal">
      <formula>"Moderado"</formula>
    </cfRule>
    <cfRule type="cellIs" dxfId="12" priority="634" operator="equal">
      <formula>"Bajo"</formula>
    </cfRule>
  </conditionalFormatting>
  <conditionalFormatting sqref="AJ106:AJ107">
    <cfRule type="cellIs" dxfId="11" priority="524" operator="equal">
      <formula>"Alto"</formula>
    </cfRule>
    <cfRule type="cellIs" dxfId="10" priority="523" operator="equal">
      <formula>"Extremo"</formula>
    </cfRule>
    <cfRule type="cellIs" dxfId="9" priority="526" operator="equal">
      <formula>"Bajo"</formula>
    </cfRule>
    <cfRule type="cellIs" dxfId="8" priority="525" operator="equal">
      <formula>"Moderado"</formula>
    </cfRule>
  </conditionalFormatting>
  <conditionalFormatting sqref="AJ109:AJ110">
    <cfRule type="cellIs" dxfId="7" priority="415" operator="equal">
      <formula>"Extremo"</formula>
    </cfRule>
    <cfRule type="cellIs" dxfId="6" priority="417" operator="equal">
      <formula>"Moderado"</formula>
    </cfRule>
    <cfRule type="cellIs" dxfId="5" priority="416" operator="equal">
      <formula>"Alto"</formula>
    </cfRule>
    <cfRule type="cellIs" dxfId="4" priority="418" operator="equal">
      <formula>"Bajo"</formula>
    </cfRule>
  </conditionalFormatting>
  <conditionalFormatting sqref="AJ112:AJ114 AJ116">
    <cfRule type="cellIs" dxfId="3" priority="1" operator="equal">
      <formula>"Extremo"</formula>
    </cfRule>
    <cfRule type="cellIs" dxfId="2" priority="4" operator="equal">
      <formula>"Bajo"</formula>
    </cfRule>
    <cfRule type="cellIs" dxfId="1" priority="2" operator="equal">
      <formula>"Alto"</formula>
    </cfRule>
    <cfRule type="cellIs" dxfId="0" priority="3" operator="equal">
      <formula>"Moderado"</formula>
    </cfRule>
  </conditionalFormatting>
  <dataValidations count="3">
    <dataValidation type="list" allowBlank="1" showInputMessage="1" showErrorMessage="1" sqref="AK9:AK11 AK14:AK16 AK18 AK20:AK22 AK24 AK26:AK29 AK53 AK67:AK68 AK88:AK90 AK106 AK103:AK104 AK31 AK50 AK97:AK100 AK114" xr:uid="{00000000-0002-0000-0100-000000000000}">
      <formula1>$AV$9:$AV$12</formula1>
    </dataValidation>
    <dataValidation type="list" allowBlank="1" showInputMessage="1" showErrorMessage="1" sqref="J9 J11 O24:O29 J116 AK107 AK109:AK110 AQ109:AQ110 AQ101:AQ104 AQ106:AQ107 AK91:AK92 AK94:AK96 AQ88:AQ90 O77 O79:P80 AK77 AQ77 AK101:AK102 AK79:AK82 AK84:AK86 AQ84 AQ80:AQ82 AK69:AK75 AQ67:AQ75 W14:X116 Z14:AB116 AQ64 AK60 AQ58 AK58 AK62 AK64:AK65 O31:O75 O81:O114 O116 J53:J114 AQ39 AQ44 AQ46:AQ49 AK54:AK56 AQ53:AQ56 AQ60:AQ62 AK51 AQ112:AQ113 AK112:AK113 AK116 AP31 AP29 AQ32:AQ35 AK32:AK49 AQ37 J14:J18 J20:J51 O9 O11:O22" xr:uid="{00000000-0002-0000-0100-000007000000}"/>
    <dataValidation type="custom" allowBlank="1" showInputMessage="1" showErrorMessage="1" error="Recuerde que las acciones se generan bajo la medida de mitigar el riesgo" sqref="AP32 AL89:AM89 AP89 AL67:AO75 AP67:AP72 AL109:AP110 AL81:AP82 AL106:AL107 AM107 AP107 AL103:AM103 AL112:AP112 AL101:AO102 AP101:AP103 AL90:AP90 AL77:AP77 AP75 AL62:AN62 AP62 AL64:AP64 AL54:AP56 AL58:AP58 AL38:AL40 AM38:AM41 AL47:AM53 AN38:AO38 AN46:AO53 AO60:AO62 AN88:AO88 AL104:AP104 AN106:AO107 AN84:AO84 AN113:AO113 AP38:AP41 AL44:AP44 AP47:AP52 AL31:AM32 AL29:AO29 AN31:AO31" xr:uid="{00000000-0002-0000-0100-00000B000000}"/>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'Opciones Tratamiento'!$B$9:$B$10</xm:f>
          </x14:formula1>
          <xm:sqref>AQ9</xm:sqref>
        </x14:dataValidation>
        <x14:dataValidation type="custom" allowBlank="1" showInputMessage="1" showErrorMessage="1" error="Recuerde que las acciones se generan bajo la medida de mitigar el riesgo" xr:uid="{00000000-0002-0000-0100-000002000000}">
          <x14:formula1>
            <xm:f>IF(OR(AK9='Opciones Tratamiento'!$B$2,AK9='Opciones Tratamiento'!$B$3,AK9='Opciones Tratamiento'!$B$4),ISBLANK(AK9),ISTEXT(AK9))</xm:f>
          </x14:formula1>
          <xm:sqref>AL9:AL10</xm:sqref>
        </x14:dataValidation>
        <x14:dataValidation type="custom" allowBlank="1" showInputMessage="1" showErrorMessage="1" error="Recuerde que las acciones se generan bajo la medida de mitigar el riesgo" xr:uid="{00000000-0002-0000-0100-000003000000}">
          <x14:formula1>
            <xm:f>IF(OR(AK9='Opciones Tratamiento'!$B$2,AK9='Opciones Tratamiento'!$B$3,AK9='Opciones Tratamiento'!$B$4),ISBLANK(AK9),ISTEXT(AK9))</xm:f>
          </x14:formula1>
          <xm:sqref>AM9:AM10</xm:sqref>
        </x14:dataValidation>
        <x14:dataValidation type="custom" allowBlank="1" showInputMessage="1" showErrorMessage="1" error="Recuerde que las acciones se generan bajo la medida de mitigar el riesgo" xr:uid="{00000000-0002-0000-0100-000004000000}">
          <x14:formula1>
            <xm:f>IF(OR(AK9='Opciones Tratamiento'!$B$2,AK9='Opciones Tratamiento'!$B$3,AK9='Opciones Tratamiento'!$B$4),ISBLANK(AK9),ISTEXT(AK9))</xm:f>
          </x14:formula1>
          <xm:sqref>AN9:AN10</xm:sqref>
        </x14:dataValidation>
        <x14:dataValidation type="custom" allowBlank="1" showInputMessage="1" showErrorMessage="1" error="Recuerde que las acciones se generan bajo la medida de mitigar el riesgo" xr:uid="{00000000-0002-0000-0100-000005000000}">
          <x14:formula1>
            <xm:f>IF(OR(AK9='Opciones Tratamiento'!$B$2,AK9='Opciones Tratamiento'!$B$3,AK9='Opciones Tratamiento'!$B$4),ISBLANK(AK9),ISTEXT(AK9))</xm:f>
          </x14:formula1>
          <xm:sqref>AO9:AO10</xm:sqref>
        </x14:dataValidation>
        <x14:dataValidation type="custom" allowBlank="1" showInputMessage="1" showErrorMessage="1" error="Recuerde que las acciones se generan bajo la medida de mitigar el riesgo" xr:uid="{00000000-0002-0000-0100-000006000000}">
          <x14:formula1>
            <xm:f>IF(OR(AK9='Opciones Tratamiento'!$B$2,AK9='Opciones Tratamiento'!$B$3,AK9='Opciones Tratamiento'!$B$4),ISBLANK(AK9),ISTEXT(AK9))</xm:f>
          </x14:formula1>
          <xm:sqref>AP9:AP10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I120"/>
  <sheetViews>
    <sheetView zoomScale="40" zoomScaleNormal="40" workbookViewId="0">
      <selection activeCell="J6" sqref="J6:K7"/>
    </sheetView>
  </sheetViews>
  <sheetFormatPr baseColWidth="10" defaultRowHeight="15" x14ac:dyDescent="0.25"/>
  <cols>
    <col min="2" max="27" width="5.7109375" customWidth="1"/>
    <col min="29" max="34" width="5.7109375" customWidth="1"/>
  </cols>
  <sheetData>
    <row r="1" spans="1:87"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row>
    <row r="2" spans="1:87" ht="18" customHeight="1" x14ac:dyDescent="0.25">
      <c r="A2" s="36"/>
      <c r="B2" s="559" t="s">
        <v>151</v>
      </c>
      <c r="C2" s="559"/>
      <c r="D2" s="559"/>
      <c r="E2" s="559"/>
      <c r="F2" s="559"/>
      <c r="G2" s="559"/>
      <c r="H2" s="599" t="s">
        <v>1</v>
      </c>
      <c r="I2" s="599"/>
      <c r="J2" s="599"/>
      <c r="K2" s="599"/>
      <c r="L2" s="599"/>
      <c r="M2" s="599"/>
      <c r="N2" s="599"/>
      <c r="O2" s="599"/>
      <c r="P2" s="599"/>
      <c r="Q2" s="599"/>
      <c r="R2" s="599"/>
      <c r="S2" s="599"/>
      <c r="T2" s="599"/>
      <c r="U2" s="599"/>
      <c r="V2" s="599"/>
      <c r="W2" s="599"/>
      <c r="X2" s="599"/>
      <c r="Y2" s="599"/>
      <c r="Z2" s="599"/>
      <c r="AA2" s="599"/>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row>
    <row r="3" spans="1:87" ht="18.75" customHeight="1" x14ac:dyDescent="0.25">
      <c r="A3" s="36"/>
      <c r="B3" s="559"/>
      <c r="C3" s="559"/>
      <c r="D3" s="559"/>
      <c r="E3" s="559"/>
      <c r="F3" s="559"/>
      <c r="G3" s="559"/>
      <c r="H3" s="599"/>
      <c r="I3" s="599"/>
      <c r="J3" s="599"/>
      <c r="K3" s="599"/>
      <c r="L3" s="599"/>
      <c r="M3" s="599"/>
      <c r="N3" s="599"/>
      <c r="O3" s="599"/>
      <c r="P3" s="599"/>
      <c r="Q3" s="599"/>
      <c r="R3" s="599"/>
      <c r="S3" s="599"/>
      <c r="T3" s="599"/>
      <c r="U3" s="599"/>
      <c r="V3" s="599"/>
      <c r="W3" s="599"/>
      <c r="X3" s="599"/>
      <c r="Y3" s="599"/>
      <c r="Z3" s="599"/>
      <c r="AA3" s="599"/>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row>
    <row r="4" spans="1:87" ht="15" customHeight="1" x14ac:dyDescent="0.25">
      <c r="A4" s="36"/>
      <c r="B4" s="559"/>
      <c r="C4" s="559"/>
      <c r="D4" s="559"/>
      <c r="E4" s="559"/>
      <c r="F4" s="559"/>
      <c r="G4" s="559"/>
      <c r="H4" s="599"/>
      <c r="I4" s="599"/>
      <c r="J4" s="599"/>
      <c r="K4" s="599"/>
      <c r="L4" s="599"/>
      <c r="M4" s="599"/>
      <c r="N4" s="599"/>
      <c r="O4" s="599"/>
      <c r="P4" s="599"/>
      <c r="Q4" s="599"/>
      <c r="R4" s="599"/>
      <c r="S4" s="599"/>
      <c r="T4" s="599"/>
      <c r="U4" s="599"/>
      <c r="V4" s="599"/>
      <c r="W4" s="599"/>
      <c r="X4" s="599"/>
      <c r="Y4" s="599"/>
      <c r="Z4" s="599"/>
      <c r="AA4" s="599"/>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row>
    <row r="5" spans="1:87"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row>
    <row r="6" spans="1:87" ht="15" customHeight="1" x14ac:dyDescent="0.25">
      <c r="A6" s="36"/>
      <c r="B6" s="580" t="s">
        <v>2</v>
      </c>
      <c r="C6" s="580"/>
      <c r="D6" s="580"/>
      <c r="E6" s="578" t="s">
        <v>111</v>
      </c>
      <c r="F6" s="579"/>
      <c r="G6" s="579"/>
      <c r="H6" s="596" t="str">
        <f>IF(AND('Mapa final'!$M$9="Muy Alta",'Mapa final'!$Q$9="Leve"),CONCATENATE("R",'Mapa final'!$D$9),"")</f>
        <v/>
      </c>
      <c r="I6" s="597"/>
      <c r="J6" s="597" t="e">
        <f>IF(AND('Mapa final'!#REF!="Muy Alta",'Mapa final'!#REF!="Leve"),CONCATENATE("R",'Mapa final'!#REF!),"")</f>
        <v>#REF!</v>
      </c>
      <c r="K6" s="598"/>
      <c r="L6" s="596" t="str">
        <f>IF(AND('Mapa final'!$M$9="Muy Alta",'Mapa final'!$Q$9="Menor"),CONCATENATE("R",'Mapa final'!$D$9),"")</f>
        <v/>
      </c>
      <c r="M6" s="597"/>
      <c r="N6" s="597" t="e">
        <f>IF(AND('Mapa final'!#REF!="Muy Alta",'Mapa final'!#REF!="Menor"),CONCATENATE("R",'Mapa final'!#REF!),"")</f>
        <v>#REF!</v>
      </c>
      <c r="O6" s="598"/>
      <c r="P6" s="596" t="str">
        <f>IF(AND('Mapa final'!$M$9="Muy Alta",'Mapa final'!$Q$9="Moderado"),CONCATENATE("R",'Mapa final'!$D$9),"")</f>
        <v/>
      </c>
      <c r="Q6" s="597"/>
      <c r="R6" s="597" t="e">
        <f>IF(AND('Mapa final'!#REF!="Muy Alta",'Mapa final'!#REF!="Moderado"),CONCATENATE("R",'Mapa final'!#REF!),"")</f>
        <v>#REF!</v>
      </c>
      <c r="S6" s="598"/>
      <c r="T6" s="596" t="str">
        <f>IF(AND('Mapa final'!$M$9="Muy Alta",'Mapa final'!$Q$9="Mayor"),CONCATENATE("R",'Mapa final'!$D$9),"")</f>
        <v/>
      </c>
      <c r="U6" s="597"/>
      <c r="V6" s="597" t="e">
        <f>IF(AND('Mapa final'!#REF!="Muy Alta",'Mapa final'!#REF!="Mayor"),CONCATENATE("R",'Mapa final'!#REF!),"")</f>
        <v>#REF!</v>
      </c>
      <c r="W6" s="598"/>
      <c r="X6" s="581" t="str">
        <f>IF(AND('Mapa final'!$M$9="Muy Alta",'Mapa final'!$Q$9="Catastrófico"),CONCATENATE("R",'Mapa final'!$D$9),"")</f>
        <v/>
      </c>
      <c r="Y6" s="582"/>
      <c r="Z6" s="582" t="e">
        <f>IF(AND('Mapa final'!#REF!="Muy Alta",'Mapa final'!#REF!="Catastrófico"),CONCATENATE("R",'Mapa final'!#REF!),"")</f>
        <v>#REF!</v>
      </c>
      <c r="AA6" s="585"/>
      <c r="AC6" s="600" t="s">
        <v>74</v>
      </c>
      <c r="AD6" s="601"/>
      <c r="AE6" s="601"/>
      <c r="AF6" s="601"/>
      <c r="AG6" s="601"/>
      <c r="AH6" s="602"/>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row>
    <row r="7" spans="1:87" ht="15" customHeight="1" x14ac:dyDescent="0.25">
      <c r="A7" s="36"/>
      <c r="B7" s="580"/>
      <c r="C7" s="580"/>
      <c r="D7" s="580"/>
      <c r="E7" s="579"/>
      <c r="F7" s="579"/>
      <c r="G7" s="579"/>
      <c r="H7" s="590"/>
      <c r="I7" s="591"/>
      <c r="J7" s="591"/>
      <c r="K7" s="594"/>
      <c r="L7" s="590"/>
      <c r="M7" s="591"/>
      <c r="N7" s="591"/>
      <c r="O7" s="594"/>
      <c r="P7" s="590"/>
      <c r="Q7" s="591"/>
      <c r="R7" s="591"/>
      <c r="S7" s="594"/>
      <c r="T7" s="590"/>
      <c r="U7" s="591"/>
      <c r="V7" s="591"/>
      <c r="W7" s="594"/>
      <c r="X7" s="583"/>
      <c r="Y7" s="584"/>
      <c r="Z7" s="584"/>
      <c r="AA7" s="586"/>
      <c r="AB7" s="36"/>
      <c r="AC7" s="603"/>
      <c r="AD7" s="604"/>
      <c r="AE7" s="604"/>
      <c r="AF7" s="604"/>
      <c r="AG7" s="604"/>
      <c r="AH7" s="605"/>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row>
    <row r="8" spans="1:87" ht="15" customHeight="1" x14ac:dyDescent="0.25">
      <c r="A8" s="36"/>
      <c r="B8" s="580"/>
      <c r="C8" s="580"/>
      <c r="D8" s="580"/>
      <c r="E8" s="579"/>
      <c r="F8" s="579"/>
      <c r="G8" s="579"/>
      <c r="H8" s="590" t="e">
        <f>IF(AND('Mapa final'!#REF!="Muy Alta",'Mapa final'!#REF!="Leve"),CONCATENATE("R",'Mapa final'!#REF!),"")</f>
        <v>#REF!</v>
      </c>
      <c r="I8" s="591"/>
      <c r="J8" s="591" t="str">
        <f>IF(AND('Mapa final'!$M$11="Muy Alta",'Mapa final'!$Q$11="Leve"),CONCATENATE("R",'Mapa final'!$D$11),"")</f>
        <v/>
      </c>
      <c r="K8" s="594"/>
      <c r="L8" s="590" t="e">
        <f>IF(AND('Mapa final'!#REF!="Muy Alta",'Mapa final'!#REF!="Menor"),CONCATENATE("R",'Mapa final'!#REF!),"")</f>
        <v>#REF!</v>
      </c>
      <c r="M8" s="591"/>
      <c r="N8" s="591" t="e">
        <f>IF(AND('Mapa final'!#REF!="Muy Alta",'Mapa final'!#REF!="Menor"),CONCATENATE("R",'Mapa final'!#REF!),"")</f>
        <v>#REF!</v>
      </c>
      <c r="O8" s="594"/>
      <c r="P8" s="590" t="e">
        <f>IF(AND('Mapa final'!#REF!="Muy Alta",'Mapa final'!#REF!="Moderado"),CONCATENATE("R",'Mapa final'!#REF!),"")</f>
        <v>#REF!</v>
      </c>
      <c r="Q8" s="591"/>
      <c r="R8" s="591" t="e">
        <f>IF(AND('Mapa final'!#REF!="Muy Alta",'Mapa final'!#REF!="Moderado"),CONCATENATE("R",'Mapa final'!#REF!),"")</f>
        <v>#REF!</v>
      </c>
      <c r="S8" s="594"/>
      <c r="T8" s="590" t="e">
        <f>IF(AND('Mapa final'!#REF!="Muy Alta",'Mapa final'!#REF!="Mayor"),CONCATENATE("R",'Mapa final'!#REF!),"")</f>
        <v>#REF!</v>
      </c>
      <c r="U8" s="591"/>
      <c r="V8" s="591" t="e">
        <f>IF(AND('Mapa final'!#REF!="Muy Alta",'Mapa final'!#REF!="Mayor"),CONCATENATE("R",'Mapa final'!#REF!),"")</f>
        <v>#REF!</v>
      </c>
      <c r="W8" s="594"/>
      <c r="X8" s="583" t="e">
        <f>IF(AND('Mapa final'!#REF!="Muy Alta",'Mapa final'!#REF!="Catastrófico"),CONCATENATE("R",'Mapa final'!#REF!),"")</f>
        <v>#REF!</v>
      </c>
      <c r="Y8" s="584"/>
      <c r="Z8" s="584" t="e">
        <f>IF(AND('Mapa final'!#REF!="Muy Alta",'Mapa final'!#REF!="Catastrófico"),CONCATENATE("R",'Mapa final'!#REF!),"")</f>
        <v>#REF!</v>
      </c>
      <c r="AA8" s="586"/>
      <c r="AB8" s="36"/>
      <c r="AC8" s="603"/>
      <c r="AD8" s="604"/>
      <c r="AE8" s="604"/>
      <c r="AF8" s="604"/>
      <c r="AG8" s="604"/>
      <c r="AH8" s="605"/>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row>
    <row r="9" spans="1:87" ht="15" customHeight="1" thickBot="1" x14ac:dyDescent="0.3">
      <c r="A9" s="36"/>
      <c r="B9" s="580"/>
      <c r="C9" s="580"/>
      <c r="D9" s="580"/>
      <c r="E9" s="579"/>
      <c r="F9" s="579"/>
      <c r="G9" s="579"/>
      <c r="H9" s="592"/>
      <c r="I9" s="593"/>
      <c r="J9" s="593"/>
      <c r="K9" s="595"/>
      <c r="L9" s="592"/>
      <c r="M9" s="593"/>
      <c r="N9" s="593"/>
      <c r="O9" s="595"/>
      <c r="P9" s="592"/>
      <c r="Q9" s="593"/>
      <c r="R9" s="593"/>
      <c r="S9" s="595"/>
      <c r="T9" s="592"/>
      <c r="U9" s="593"/>
      <c r="V9" s="593"/>
      <c r="W9" s="595"/>
      <c r="X9" s="587"/>
      <c r="Y9" s="588"/>
      <c r="Z9" s="588"/>
      <c r="AA9" s="589"/>
      <c r="AB9" s="36"/>
      <c r="AC9" s="603"/>
      <c r="AD9" s="604"/>
      <c r="AE9" s="604"/>
      <c r="AF9" s="604"/>
      <c r="AG9" s="604"/>
      <c r="AH9" s="605"/>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row>
    <row r="10" spans="1:87" ht="15" customHeight="1" x14ac:dyDescent="0.25">
      <c r="A10" s="36"/>
      <c r="B10" s="580"/>
      <c r="C10" s="580"/>
      <c r="D10" s="580"/>
      <c r="E10" s="578" t="s">
        <v>110</v>
      </c>
      <c r="F10" s="579"/>
      <c r="G10" s="579"/>
      <c r="H10" s="569" t="str">
        <f>IF(AND('Mapa final'!$M$9="Alta",'Mapa final'!$Q$9="Leve"),CONCATENATE("R",'Mapa final'!$D$9),"")</f>
        <v/>
      </c>
      <c r="I10" s="570"/>
      <c r="J10" s="570" t="e">
        <f>IF(AND('Mapa final'!#REF!="Alta",'Mapa final'!#REF!="Leve"),CONCATENATE("R",'Mapa final'!#REF!),"")</f>
        <v>#REF!</v>
      </c>
      <c r="K10" s="573"/>
      <c r="L10" s="569" t="str">
        <f>IF(AND('Mapa final'!$M$9="Alta",'Mapa final'!$Q$9="Menor"),CONCATENATE("R",'Mapa final'!$D$9),"")</f>
        <v/>
      </c>
      <c r="M10" s="570"/>
      <c r="N10" s="570" t="e">
        <f>IF(AND('Mapa final'!#REF!="Alta",'Mapa final'!#REF!="Menor"),CONCATENATE("R",'Mapa final'!#REF!),"")</f>
        <v>#REF!</v>
      </c>
      <c r="O10" s="573"/>
      <c r="P10" s="596" t="str">
        <f>IF(AND('Mapa final'!$M$9="Alta",'Mapa final'!$Q$9="Moderado"),CONCATENATE("R",'Mapa final'!$D$9),"")</f>
        <v/>
      </c>
      <c r="Q10" s="597"/>
      <c r="R10" s="597" t="e">
        <f>IF(AND('Mapa final'!#REF!="Alta",'Mapa final'!#REF!="Moderado"),CONCATENATE("R",'Mapa final'!#REF!),"")</f>
        <v>#REF!</v>
      </c>
      <c r="S10" s="598"/>
      <c r="T10" s="596" t="str">
        <f>IF(AND('Mapa final'!$M$9="Alta",'Mapa final'!$Q$9="Mayor"),CONCATENATE("R",'Mapa final'!$D$9),"")</f>
        <v/>
      </c>
      <c r="U10" s="597"/>
      <c r="V10" s="597" t="e">
        <f>IF(AND('Mapa final'!#REF!="Alta",'Mapa final'!#REF!="Mayor"),CONCATENATE("R",'Mapa final'!#REF!),"")</f>
        <v>#REF!</v>
      </c>
      <c r="W10" s="598"/>
      <c r="X10" s="581" t="str">
        <f>IF(AND('Mapa final'!$M$9="Alta",'Mapa final'!$Q$9="Catastrófico"),CONCATENATE("R",'Mapa final'!$D$9),"")</f>
        <v/>
      </c>
      <c r="Y10" s="582"/>
      <c r="Z10" s="582" t="e">
        <f>IF(AND('Mapa final'!#REF!="Alta",'Mapa final'!#REF!="Catastrófico"),CONCATENATE("R",'Mapa final'!#REF!),"")</f>
        <v>#REF!</v>
      </c>
      <c r="AA10" s="585"/>
      <c r="AB10" s="36"/>
      <c r="AC10" s="606" t="s">
        <v>75</v>
      </c>
      <c r="AD10" s="607"/>
      <c r="AE10" s="607"/>
      <c r="AF10" s="607"/>
      <c r="AG10" s="607"/>
      <c r="AH10" s="608"/>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row>
    <row r="11" spans="1:87" ht="15" customHeight="1" x14ac:dyDescent="0.25">
      <c r="A11" s="36"/>
      <c r="B11" s="580"/>
      <c r="C11" s="580"/>
      <c r="D11" s="580"/>
      <c r="E11" s="579"/>
      <c r="F11" s="579"/>
      <c r="G11" s="579"/>
      <c r="H11" s="571"/>
      <c r="I11" s="572"/>
      <c r="J11" s="572"/>
      <c r="K11" s="574"/>
      <c r="L11" s="571"/>
      <c r="M11" s="572"/>
      <c r="N11" s="572"/>
      <c r="O11" s="574"/>
      <c r="P11" s="590"/>
      <c r="Q11" s="591"/>
      <c r="R11" s="591"/>
      <c r="S11" s="594"/>
      <c r="T11" s="590"/>
      <c r="U11" s="591"/>
      <c r="V11" s="591"/>
      <c r="W11" s="594"/>
      <c r="X11" s="583"/>
      <c r="Y11" s="584"/>
      <c r="Z11" s="584"/>
      <c r="AA11" s="586"/>
      <c r="AB11" s="36"/>
      <c r="AC11" s="609"/>
      <c r="AD11" s="610"/>
      <c r="AE11" s="610"/>
      <c r="AF11" s="610"/>
      <c r="AG11" s="610"/>
      <c r="AH11" s="611"/>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row>
    <row r="12" spans="1:87" ht="15" customHeight="1" x14ac:dyDescent="0.25">
      <c r="A12" s="36"/>
      <c r="B12" s="580"/>
      <c r="C12" s="580"/>
      <c r="D12" s="580"/>
      <c r="E12" s="579"/>
      <c r="F12" s="579"/>
      <c r="G12" s="579"/>
      <c r="H12" s="571" t="e">
        <f>IF(AND('Mapa final'!#REF!="Alta",'Mapa final'!#REF!="Leve"),CONCATENATE("R",'Mapa final'!#REF!),"")</f>
        <v>#REF!</v>
      </c>
      <c r="I12" s="572"/>
      <c r="J12" s="572" t="e">
        <f>IF(AND('Mapa final'!#REF!="Alta",'Mapa final'!#REF!="Leve"),CONCATENATE("R",'Mapa final'!#REF!),"")</f>
        <v>#REF!</v>
      </c>
      <c r="K12" s="574"/>
      <c r="L12" s="571" t="e">
        <f>IF(AND('Mapa final'!#REF!="Alta",'Mapa final'!#REF!="Menor"),CONCATENATE("R",'Mapa final'!#REF!),"")</f>
        <v>#REF!</v>
      </c>
      <c r="M12" s="572"/>
      <c r="N12" s="572" t="e">
        <f>IF(AND('Mapa final'!#REF!="Alta",'Mapa final'!#REF!="Menor"),CONCATENATE("R",'Mapa final'!#REF!),"")</f>
        <v>#REF!</v>
      </c>
      <c r="O12" s="574"/>
      <c r="P12" s="590" t="e">
        <f>IF(AND('Mapa final'!#REF!="Alta",'Mapa final'!#REF!="Moderado"),CONCATENATE("R",'Mapa final'!#REF!),"")</f>
        <v>#REF!</v>
      </c>
      <c r="Q12" s="591"/>
      <c r="R12" s="591" t="e">
        <f>IF(AND('Mapa final'!#REF!="Alta",'Mapa final'!#REF!="Moderado"),CONCATENATE("R",'Mapa final'!#REF!),"")</f>
        <v>#REF!</v>
      </c>
      <c r="S12" s="594"/>
      <c r="T12" s="590" t="e">
        <f>IF(AND('Mapa final'!#REF!="Alta",'Mapa final'!#REF!="Mayor"),CONCATENATE("R",'Mapa final'!#REF!),"")</f>
        <v>#REF!</v>
      </c>
      <c r="U12" s="591"/>
      <c r="V12" s="591" t="e">
        <f>IF(AND('Mapa final'!#REF!="Alta",'Mapa final'!#REF!="Mayor"),CONCATENATE("R",'Mapa final'!#REF!),"")</f>
        <v>#REF!</v>
      </c>
      <c r="W12" s="594"/>
      <c r="X12" s="583" t="e">
        <f>IF(AND('Mapa final'!#REF!="Alta",'Mapa final'!#REF!="Catastrófico"),CONCATENATE("R",'Mapa final'!#REF!),"")</f>
        <v>#REF!</v>
      </c>
      <c r="Y12" s="584"/>
      <c r="Z12" s="584" t="e">
        <f>IF(AND('Mapa final'!#REF!="Alta",'Mapa final'!#REF!="Catastrófico"),CONCATENATE("R",'Mapa final'!#REF!),"")</f>
        <v>#REF!</v>
      </c>
      <c r="AA12" s="586"/>
      <c r="AB12" s="36"/>
      <c r="AC12" s="609"/>
      <c r="AD12" s="610"/>
      <c r="AE12" s="610"/>
      <c r="AF12" s="610"/>
      <c r="AG12" s="610"/>
      <c r="AH12" s="611"/>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row>
    <row r="13" spans="1:87" ht="15" customHeight="1" thickBot="1" x14ac:dyDescent="0.3">
      <c r="A13" s="36"/>
      <c r="B13" s="580"/>
      <c r="C13" s="580"/>
      <c r="D13" s="580"/>
      <c r="E13" s="579"/>
      <c r="F13" s="579"/>
      <c r="G13" s="579"/>
      <c r="H13" s="575"/>
      <c r="I13" s="576"/>
      <c r="J13" s="576"/>
      <c r="K13" s="577"/>
      <c r="L13" s="575"/>
      <c r="M13" s="576"/>
      <c r="N13" s="576"/>
      <c r="O13" s="577"/>
      <c r="P13" s="592"/>
      <c r="Q13" s="593"/>
      <c r="R13" s="593"/>
      <c r="S13" s="595"/>
      <c r="T13" s="592"/>
      <c r="U13" s="593"/>
      <c r="V13" s="593"/>
      <c r="W13" s="595"/>
      <c r="X13" s="587"/>
      <c r="Y13" s="588"/>
      <c r="Z13" s="588"/>
      <c r="AA13" s="589"/>
      <c r="AB13" s="36"/>
      <c r="AC13" s="609"/>
      <c r="AD13" s="610"/>
      <c r="AE13" s="610"/>
      <c r="AF13" s="610"/>
      <c r="AG13" s="610"/>
      <c r="AH13" s="611"/>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row>
    <row r="14" spans="1:87" ht="15" customHeight="1" x14ac:dyDescent="0.25">
      <c r="A14" s="36"/>
      <c r="B14" s="580"/>
      <c r="C14" s="580"/>
      <c r="D14" s="580"/>
      <c r="E14" s="578" t="s">
        <v>112</v>
      </c>
      <c r="F14" s="579"/>
      <c r="G14" s="579"/>
      <c r="H14" s="569" t="str">
        <f>IF(AND('Mapa final'!$M$9="Media",'Mapa final'!$Q$9="Leve"),CONCATENATE("R",'Mapa final'!$D$9),"")</f>
        <v/>
      </c>
      <c r="I14" s="570"/>
      <c r="J14" s="570" t="e">
        <f>IF(AND('Mapa final'!#REF!="Media",'Mapa final'!#REF!="Leve"),CONCATENATE("R",'Mapa final'!#REF!),"")</f>
        <v>#REF!</v>
      </c>
      <c r="K14" s="573"/>
      <c r="L14" s="569" t="str">
        <f>IF(AND('Mapa final'!$M$9="Media",'Mapa final'!$Q$9="Menor"),CONCATENATE("R",'Mapa final'!$D$9),"")</f>
        <v/>
      </c>
      <c r="M14" s="570"/>
      <c r="N14" s="570" t="e">
        <f>IF(AND('Mapa final'!#REF!="Media",'Mapa final'!#REF!="Menor"),CONCATENATE("R",'Mapa final'!#REF!),"")</f>
        <v>#REF!</v>
      </c>
      <c r="O14" s="573"/>
      <c r="P14" s="569" t="str">
        <f>IF(AND('Mapa final'!$M$9="Media",'Mapa final'!$Q$9="Moderado"),CONCATENATE("R",'Mapa final'!$D$9),"")</f>
        <v/>
      </c>
      <c r="Q14" s="570"/>
      <c r="R14" s="570" t="e">
        <f>IF(AND('Mapa final'!#REF!="Media",'Mapa final'!#REF!="Moderado"),CONCATENATE("R",'Mapa final'!#REF!),"")</f>
        <v>#REF!</v>
      </c>
      <c r="S14" s="573"/>
      <c r="T14" s="596" t="str">
        <f>IF(AND('Mapa final'!$M$9="Media",'Mapa final'!$Q$9="Mayor"),CONCATENATE("R",'Mapa final'!$D$9),"")</f>
        <v/>
      </c>
      <c r="U14" s="597"/>
      <c r="V14" s="597" t="e">
        <f>IF(AND('Mapa final'!#REF!="Media",'Mapa final'!#REF!="Mayor"),CONCATENATE("R",'Mapa final'!#REF!),"")</f>
        <v>#REF!</v>
      </c>
      <c r="W14" s="598"/>
      <c r="X14" s="581" t="str">
        <f>IF(AND('Mapa final'!$M$9="Media",'Mapa final'!$Q$9="Catastrófico"),CONCATENATE("R",'Mapa final'!$D$9),"")</f>
        <v/>
      </c>
      <c r="Y14" s="582"/>
      <c r="Z14" s="582" t="e">
        <f>IF(AND('Mapa final'!#REF!="Media",'Mapa final'!#REF!="Catastrófico"),CONCATENATE("R",'Mapa final'!#REF!),"")</f>
        <v>#REF!</v>
      </c>
      <c r="AA14" s="585"/>
      <c r="AB14" s="36"/>
      <c r="AC14" s="612" t="s">
        <v>76</v>
      </c>
      <c r="AD14" s="613"/>
      <c r="AE14" s="613"/>
      <c r="AF14" s="613"/>
      <c r="AG14" s="613"/>
      <c r="AH14" s="614"/>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row>
    <row r="15" spans="1:87" ht="15" customHeight="1" x14ac:dyDescent="0.25">
      <c r="A15" s="36"/>
      <c r="B15" s="580"/>
      <c r="C15" s="580"/>
      <c r="D15" s="580"/>
      <c r="E15" s="579"/>
      <c r="F15" s="579"/>
      <c r="G15" s="579"/>
      <c r="H15" s="571"/>
      <c r="I15" s="572"/>
      <c r="J15" s="572"/>
      <c r="K15" s="574"/>
      <c r="L15" s="571"/>
      <c r="M15" s="572"/>
      <c r="N15" s="572"/>
      <c r="O15" s="574"/>
      <c r="P15" s="571"/>
      <c r="Q15" s="572"/>
      <c r="R15" s="572"/>
      <c r="S15" s="574"/>
      <c r="T15" s="590"/>
      <c r="U15" s="591"/>
      <c r="V15" s="591"/>
      <c r="W15" s="594"/>
      <c r="X15" s="583"/>
      <c r="Y15" s="584"/>
      <c r="Z15" s="584"/>
      <c r="AA15" s="586"/>
      <c r="AB15" s="36"/>
      <c r="AC15" s="615"/>
      <c r="AD15" s="616"/>
      <c r="AE15" s="616"/>
      <c r="AF15" s="616"/>
      <c r="AG15" s="616"/>
      <c r="AH15" s="617"/>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row>
    <row r="16" spans="1:87" ht="15" customHeight="1" x14ac:dyDescent="0.25">
      <c r="A16" s="36"/>
      <c r="B16" s="580"/>
      <c r="C16" s="580"/>
      <c r="D16" s="580"/>
      <c r="E16" s="579"/>
      <c r="F16" s="579"/>
      <c r="G16" s="579"/>
      <c r="H16" s="571" t="e">
        <f>IF(AND('Mapa final'!#REF!="Media",'Mapa final'!#REF!="Leve"),CONCATENATE("R",'Mapa final'!#REF!),"")</f>
        <v>#REF!</v>
      </c>
      <c r="I16" s="572"/>
      <c r="J16" s="572" t="e">
        <f>IF(AND('Mapa final'!#REF!="Media",'Mapa final'!#REF!="Leve"),CONCATENATE("R",'Mapa final'!#REF!),"")</f>
        <v>#REF!</v>
      </c>
      <c r="K16" s="574"/>
      <c r="L16" s="571" t="e">
        <f>IF(AND('Mapa final'!#REF!="Media",'Mapa final'!#REF!="Menor"),CONCATENATE("R",'Mapa final'!#REF!),"")</f>
        <v>#REF!</v>
      </c>
      <c r="M16" s="572"/>
      <c r="N16" s="572" t="e">
        <f>IF(AND('Mapa final'!#REF!="Media",'Mapa final'!#REF!="Menor"),CONCATENATE("R",'Mapa final'!$B$2),"")</f>
        <v>#REF!</v>
      </c>
      <c r="O16" s="574"/>
      <c r="P16" s="571" t="e">
        <f>IF(AND('Mapa final'!#REF!="Media",'Mapa final'!#REF!="Moderado"),CONCATENATE("R",'Mapa final'!#REF!),"")</f>
        <v>#REF!</v>
      </c>
      <c r="Q16" s="572"/>
      <c r="R16" s="572" t="e">
        <f>IF(AND('Mapa final'!#REF!="Media",'Mapa final'!#REF!="Moderado"),CONCATENATE("R",'Mapa final'!#REF!),"")</f>
        <v>#REF!</v>
      </c>
      <c r="S16" s="574"/>
      <c r="T16" s="590" t="e">
        <f>IF(AND('Mapa final'!#REF!="Media",'Mapa final'!#REF!="Mayor"),CONCATENATE("R",'Mapa final'!#REF!),"")</f>
        <v>#REF!</v>
      </c>
      <c r="U16" s="591"/>
      <c r="V16" s="591" t="e">
        <f>IF(AND('Mapa final'!#REF!="Media",'Mapa final'!#REF!="Mayor"),CONCATENATE("R",'Mapa final'!#REF!),"")</f>
        <v>#REF!</v>
      </c>
      <c r="W16" s="594"/>
      <c r="X16" s="583" t="e">
        <f>IF(AND('Mapa final'!#REF!="Media",'Mapa final'!#REF!="Catastrófico"),CONCATENATE("R",'Mapa final'!#REF!),"")</f>
        <v>#REF!</v>
      </c>
      <c r="Y16" s="584"/>
      <c r="Z16" s="584" t="e">
        <f>IF(AND('Mapa final'!#REF!="Media",'Mapa final'!#REF!="Catastrófico"),CONCATENATE("R",'Mapa final'!#REF!),"")</f>
        <v>#REF!</v>
      </c>
      <c r="AA16" s="586"/>
      <c r="AB16" s="36"/>
      <c r="AC16" s="615"/>
      <c r="AD16" s="616"/>
      <c r="AE16" s="616"/>
      <c r="AF16" s="616"/>
      <c r="AG16" s="616"/>
      <c r="AH16" s="617"/>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row>
    <row r="17" spans="1:68" ht="15" customHeight="1" thickBot="1" x14ac:dyDescent="0.3">
      <c r="A17" s="36"/>
      <c r="B17" s="580"/>
      <c r="C17" s="580"/>
      <c r="D17" s="580"/>
      <c r="E17" s="579"/>
      <c r="F17" s="579"/>
      <c r="G17" s="579"/>
      <c r="H17" s="575"/>
      <c r="I17" s="576"/>
      <c r="J17" s="576"/>
      <c r="K17" s="577"/>
      <c r="L17" s="575"/>
      <c r="M17" s="576"/>
      <c r="N17" s="576"/>
      <c r="O17" s="577"/>
      <c r="P17" s="575"/>
      <c r="Q17" s="576"/>
      <c r="R17" s="576"/>
      <c r="S17" s="577"/>
      <c r="T17" s="592"/>
      <c r="U17" s="593"/>
      <c r="V17" s="593"/>
      <c r="W17" s="595"/>
      <c r="X17" s="587"/>
      <c r="Y17" s="588"/>
      <c r="Z17" s="588"/>
      <c r="AA17" s="589"/>
      <c r="AB17" s="36"/>
      <c r="AC17" s="615"/>
      <c r="AD17" s="616"/>
      <c r="AE17" s="616"/>
      <c r="AF17" s="616"/>
      <c r="AG17" s="616"/>
      <c r="AH17" s="617"/>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row>
    <row r="18" spans="1:68" ht="15" customHeight="1" x14ac:dyDescent="0.25">
      <c r="A18" s="36"/>
      <c r="B18" s="580"/>
      <c r="C18" s="580"/>
      <c r="D18" s="580"/>
      <c r="E18" s="578" t="s">
        <v>109</v>
      </c>
      <c r="F18" s="579"/>
      <c r="G18" s="579"/>
      <c r="H18" s="563" t="str">
        <f>IF(AND('Mapa final'!$M$9="Baja",'Mapa final'!$Q$9="Leve"),CONCATENATE("R",'Mapa final'!$D$9),"")</f>
        <v/>
      </c>
      <c r="I18" s="563"/>
      <c r="J18" s="563" t="e">
        <f>IF(AND('Mapa final'!#REF!="Baja",'Mapa final'!#REF!="Leve"),CONCATENATE("R",'Mapa final'!#REF!),"")</f>
        <v>#REF!</v>
      </c>
      <c r="K18" s="563"/>
      <c r="L18" s="569" t="str">
        <f>IF(AND('Mapa final'!$M$9="Baja",'Mapa final'!$Q$9="Menor"),CONCATENATE("R",'Mapa final'!$D$9),"")</f>
        <v/>
      </c>
      <c r="M18" s="570"/>
      <c r="N18" s="570" t="e">
        <f>IF(AND('Mapa final'!#REF!="Baja",'Mapa final'!#REF!="Menor"),CONCATENATE("R",'Mapa final'!#REF!),"")</f>
        <v>#REF!</v>
      </c>
      <c r="O18" s="573"/>
      <c r="P18" s="569" t="str">
        <f>IF(AND('Mapa final'!$M$9="Baja",'Mapa final'!$Q$9="Moderado"),CONCATENATE("R",'Mapa final'!$D$9),"")</f>
        <v/>
      </c>
      <c r="Q18" s="570"/>
      <c r="R18" s="570" t="e">
        <f>IF(AND('Mapa final'!#REF!="Baja",'Mapa final'!#REF!="Moderado"),CONCATENATE("R",'Mapa final'!#REF!),"")</f>
        <v>#REF!</v>
      </c>
      <c r="S18" s="573"/>
      <c r="T18" s="596" t="str">
        <f>IF(AND('Mapa final'!$M$9="Baja",'Mapa final'!$Q$9="Mayor"),CONCATENATE("R",'Mapa final'!$D$9),"")</f>
        <v/>
      </c>
      <c r="U18" s="597"/>
      <c r="V18" s="597" t="e">
        <f>IF(AND('Mapa final'!#REF!="Baja",'Mapa final'!#REF!="Mayor"),CONCATENATE("R",'Mapa final'!#REF!),"")</f>
        <v>#REF!</v>
      </c>
      <c r="W18" s="598"/>
      <c r="X18" s="581" t="str">
        <f>IF(AND('Mapa final'!$M$9="Baja",'Mapa final'!$Q$9="Catastrófico"),CONCATENATE("R",'Mapa final'!$D$9),"")</f>
        <v/>
      </c>
      <c r="Y18" s="582"/>
      <c r="Z18" s="582" t="e">
        <f>IF(AND('Mapa final'!#REF!="Baja",'Mapa final'!#REF!="Catastrófico"),CONCATENATE("R",'Mapa final'!#REF!),"")</f>
        <v>#REF!</v>
      </c>
      <c r="AA18" s="585"/>
      <c r="AB18" s="36"/>
      <c r="AC18" s="618" t="s">
        <v>77</v>
      </c>
      <c r="AD18" s="619"/>
      <c r="AE18" s="619"/>
      <c r="AF18" s="619"/>
      <c r="AG18" s="619"/>
      <c r="AH18" s="620"/>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row>
    <row r="19" spans="1:68" ht="15" customHeight="1" x14ac:dyDescent="0.25">
      <c r="A19" s="36"/>
      <c r="B19" s="580"/>
      <c r="C19" s="580"/>
      <c r="D19" s="580"/>
      <c r="E19" s="579"/>
      <c r="F19" s="579"/>
      <c r="G19" s="579"/>
      <c r="H19" s="563"/>
      <c r="I19" s="563"/>
      <c r="J19" s="563"/>
      <c r="K19" s="563"/>
      <c r="L19" s="571"/>
      <c r="M19" s="572"/>
      <c r="N19" s="572"/>
      <c r="O19" s="574"/>
      <c r="P19" s="571"/>
      <c r="Q19" s="572"/>
      <c r="R19" s="572"/>
      <c r="S19" s="574"/>
      <c r="T19" s="590"/>
      <c r="U19" s="591"/>
      <c r="V19" s="591"/>
      <c r="W19" s="594"/>
      <c r="X19" s="583"/>
      <c r="Y19" s="584"/>
      <c r="Z19" s="584"/>
      <c r="AA19" s="586"/>
      <c r="AB19" s="36"/>
      <c r="AC19" s="621"/>
      <c r="AD19" s="622"/>
      <c r="AE19" s="622"/>
      <c r="AF19" s="622"/>
      <c r="AG19" s="622"/>
      <c r="AH19" s="623"/>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row>
    <row r="20" spans="1:68" ht="15" customHeight="1" x14ac:dyDescent="0.25">
      <c r="A20" s="36"/>
      <c r="B20" s="580"/>
      <c r="C20" s="580"/>
      <c r="D20" s="580"/>
      <c r="E20" s="579"/>
      <c r="F20" s="579"/>
      <c r="G20" s="579"/>
      <c r="H20" s="563" t="e">
        <f>IF(AND('Mapa final'!#REF!="Baja",'Mapa final'!#REF!="Leve"),CONCATENATE("R",'Mapa final'!#REF!),"")</f>
        <v>#REF!</v>
      </c>
      <c r="I20" s="563"/>
      <c r="J20" s="563" t="e">
        <f>IF(AND('Mapa final'!#REF!="Baja",'Mapa final'!#REF!="Leve"),CONCATENATE("R",'Mapa final'!#REF!),"")</f>
        <v>#REF!</v>
      </c>
      <c r="K20" s="563"/>
      <c r="L20" s="571" t="e">
        <f>IF(AND('Mapa final'!#REF!="Baja",'Mapa final'!#REF!="Menor"),CONCATENATE("R",'Mapa final'!#REF!),"")</f>
        <v>#REF!</v>
      </c>
      <c r="M20" s="572"/>
      <c r="N20" s="572" t="e">
        <f>IF(AND('Mapa final'!#REF!="Baja",'Mapa final'!#REF!="Menor"),CONCATENATE("R",'Mapa final'!#REF!),"")</f>
        <v>#REF!</v>
      </c>
      <c r="O20" s="574"/>
      <c r="P20" s="571" t="e">
        <f>IF(AND('Mapa final'!#REF!="Baja",'Mapa final'!#REF!="Moderado"),CONCATENATE("R",'Mapa final'!#REF!),"")</f>
        <v>#REF!</v>
      </c>
      <c r="Q20" s="572"/>
      <c r="R20" s="572" t="e">
        <f>IF(AND('Mapa final'!#REF!="Baja",'Mapa final'!#REF!="Moderado"),CONCATENATE("R",'Mapa final'!#REF!),"")</f>
        <v>#REF!</v>
      </c>
      <c r="S20" s="574"/>
      <c r="T20" s="590" t="e">
        <f>IF(AND('Mapa final'!#REF!="Baja",'Mapa final'!#REF!="Mayor"),CONCATENATE("R",'Mapa final'!#REF!),"")</f>
        <v>#REF!</v>
      </c>
      <c r="U20" s="591"/>
      <c r="V20" s="591" t="e">
        <f>IF(AND('Mapa final'!#REF!="Baja",'Mapa final'!#REF!="Mayor"),CONCATENATE("R",'Mapa final'!#REF!),"")</f>
        <v>#REF!</v>
      </c>
      <c r="W20" s="594"/>
      <c r="X20" s="583" t="e">
        <f>IF(AND('Mapa final'!#REF!="Baja",'Mapa final'!#REF!="Catastrófico"),CONCATENATE("R",'Mapa final'!#REF!),"")</f>
        <v>#REF!</v>
      </c>
      <c r="Y20" s="584"/>
      <c r="Z20" s="584" t="e">
        <f>IF(AND('Mapa final'!#REF!="Baja",'Mapa final'!#REF!="Catastrófico"),CONCATENATE("R",'Mapa final'!#REF!),"")</f>
        <v>#REF!</v>
      </c>
      <c r="AA20" s="586"/>
      <c r="AB20" s="36"/>
      <c r="AC20" s="621"/>
      <c r="AD20" s="622"/>
      <c r="AE20" s="622"/>
      <c r="AF20" s="622"/>
      <c r="AG20" s="622"/>
      <c r="AH20" s="623"/>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row>
    <row r="21" spans="1:68" ht="15" customHeight="1" x14ac:dyDescent="0.25">
      <c r="A21" s="36"/>
      <c r="B21" s="580"/>
      <c r="C21" s="580"/>
      <c r="D21" s="580"/>
      <c r="E21" s="579"/>
      <c r="F21" s="579"/>
      <c r="G21" s="579"/>
      <c r="H21" s="563"/>
      <c r="I21" s="563"/>
      <c r="J21" s="563"/>
      <c r="K21" s="563"/>
      <c r="L21" s="575"/>
      <c r="M21" s="576"/>
      <c r="N21" s="576"/>
      <c r="O21" s="577"/>
      <c r="P21" s="575"/>
      <c r="Q21" s="576"/>
      <c r="R21" s="576"/>
      <c r="S21" s="577"/>
      <c r="T21" s="592"/>
      <c r="U21" s="593"/>
      <c r="V21" s="593"/>
      <c r="W21" s="595"/>
      <c r="X21" s="587"/>
      <c r="Y21" s="588"/>
      <c r="Z21" s="588"/>
      <c r="AA21" s="589"/>
      <c r="AB21" s="36"/>
      <c r="AC21" s="621"/>
      <c r="AD21" s="622"/>
      <c r="AE21" s="622"/>
      <c r="AF21" s="622"/>
      <c r="AG21" s="622"/>
      <c r="AH21" s="623"/>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row>
    <row r="22" spans="1:68" ht="15" customHeight="1" x14ac:dyDescent="0.25">
      <c r="A22" s="36"/>
      <c r="B22" s="580"/>
      <c r="C22" s="580"/>
      <c r="D22" s="580"/>
      <c r="E22" s="578" t="s">
        <v>108</v>
      </c>
      <c r="F22" s="579"/>
      <c r="G22" s="579"/>
      <c r="H22" s="560" t="str">
        <f>IF(AND('Mapa final'!$M$9="Muy Baja",'Mapa final'!$Q$9="Leve"),CONCATENATE("R",'Mapa final'!$D$9),"")</f>
        <v/>
      </c>
      <c r="I22" s="561"/>
      <c r="J22" s="561" t="e">
        <f>IF(AND('Mapa final'!#REF!="Muy Baja",'Mapa final'!#REF!="Leve"),CONCATENATE("R",'Mapa final'!#REF!),"")</f>
        <v>#REF!</v>
      </c>
      <c r="K22" s="564"/>
      <c r="L22" s="560" t="str">
        <f>IF(AND('Mapa final'!$M$9="Muy Baja",'Mapa final'!$Q$9="Menor"),CONCATENATE("R",'Mapa final'!$D$9),"")</f>
        <v/>
      </c>
      <c r="M22" s="561"/>
      <c r="N22" s="561" t="e">
        <f>IF(AND('Mapa final'!#REF!="Muy Baja",'Mapa final'!#REF!="Menor"),CONCATENATE("R",'Mapa final'!#REF!),"")</f>
        <v>#REF!</v>
      </c>
      <c r="O22" s="564"/>
      <c r="P22" s="569" t="str">
        <f>IF(AND('Mapa final'!$M$9="Muy Baja",'Mapa final'!$Q$9="Moderado"),CONCATENATE("R",'Mapa final'!$D$9),"")</f>
        <v>R1</v>
      </c>
      <c r="Q22" s="570"/>
      <c r="R22" s="570" t="e">
        <f>IF(AND('Mapa final'!#REF!="Muy Baja",'Mapa final'!#REF!="Moderado"),CONCATENATE("R",'Mapa final'!#REF!),"")</f>
        <v>#REF!</v>
      </c>
      <c r="S22" s="573"/>
      <c r="T22" s="596" t="str">
        <f>IF(AND('Mapa final'!$M$9="Muy Baja",'Mapa final'!$Q$9="Mayor"),CONCATENATE("R",'Mapa final'!$D$9),"")</f>
        <v/>
      </c>
      <c r="U22" s="597"/>
      <c r="V22" s="597" t="e">
        <f>IF(AND('Mapa final'!#REF!="Muy Baja",'Mapa final'!#REF!="Mayor"),CONCATENATE("R",'Mapa final'!#REF!),"")</f>
        <v>#REF!</v>
      </c>
      <c r="W22" s="598"/>
      <c r="X22" s="581" t="str">
        <f>IF(AND('Mapa final'!$M$9="Muy Baja",'Mapa final'!$Q$9="Catastrófico"),CONCATENATE("R",'Mapa final'!$D$9),"")</f>
        <v/>
      </c>
      <c r="Y22" s="582"/>
      <c r="Z22" s="582" t="e">
        <f>IF(AND('Mapa final'!#REF!="Muy Baja",'Mapa final'!#REF!="Catastrófico"),CONCATENATE("R",'Mapa final'!#REF!),"")</f>
        <v>#REF!</v>
      </c>
      <c r="AA22" s="585"/>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row>
    <row r="23" spans="1:68" ht="15" customHeight="1" x14ac:dyDescent="0.25">
      <c r="A23" s="36"/>
      <c r="B23" s="580"/>
      <c r="C23" s="580"/>
      <c r="D23" s="580"/>
      <c r="E23" s="579"/>
      <c r="F23" s="579"/>
      <c r="G23" s="579"/>
      <c r="H23" s="562"/>
      <c r="I23" s="563"/>
      <c r="J23" s="563"/>
      <c r="K23" s="565"/>
      <c r="L23" s="562"/>
      <c r="M23" s="563"/>
      <c r="N23" s="563"/>
      <c r="O23" s="565"/>
      <c r="P23" s="571"/>
      <c r="Q23" s="572"/>
      <c r="R23" s="572"/>
      <c r="S23" s="574"/>
      <c r="T23" s="590"/>
      <c r="U23" s="591"/>
      <c r="V23" s="591"/>
      <c r="W23" s="594"/>
      <c r="X23" s="583"/>
      <c r="Y23" s="584"/>
      <c r="Z23" s="584"/>
      <c r="AA23" s="58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row>
    <row r="24" spans="1:68" ht="15" customHeight="1" x14ac:dyDescent="0.25">
      <c r="A24" s="36"/>
      <c r="B24" s="580"/>
      <c r="C24" s="580"/>
      <c r="D24" s="580"/>
      <c r="E24" s="579"/>
      <c r="F24" s="579"/>
      <c r="G24" s="579"/>
      <c r="H24" s="562" t="e">
        <f>IF(AND('Mapa final'!#REF!="Muy Baja",'Mapa final'!#REF!="Leve"),CONCATENATE("R",'Mapa final'!#REF!),"")</f>
        <v>#REF!</v>
      </c>
      <c r="I24" s="563"/>
      <c r="J24" s="563" t="e">
        <f>IF(AND('Mapa final'!#REF!="Muy Baja",'Mapa final'!#REF!="Leve"),CONCATENATE("R",'Mapa final'!#REF!),"")</f>
        <v>#REF!</v>
      </c>
      <c r="K24" s="565"/>
      <c r="L24" s="562" t="e">
        <f>IF(AND('Mapa final'!#REF!="Muy Baja",'Mapa final'!#REF!="Menor"),CONCATENATE("R",'Mapa final'!#REF!),"")</f>
        <v>#REF!</v>
      </c>
      <c r="M24" s="563"/>
      <c r="N24" s="563" t="e">
        <f>IF(AND('Mapa final'!#REF!="Muy Baja",'Mapa final'!#REF!="Menor"),CONCATENATE("R",'Mapa final'!#REF!),"")</f>
        <v>#REF!</v>
      </c>
      <c r="O24" s="565"/>
      <c r="P24" s="571" t="e">
        <f>IF(AND('Mapa final'!#REF!="Muy Baja",'Mapa final'!#REF!="Moderado"),CONCATENATE("R",'Mapa final'!#REF!),"")</f>
        <v>#REF!</v>
      </c>
      <c r="Q24" s="572"/>
      <c r="R24" s="572" t="e">
        <f>IF(AND('Mapa final'!#REF!="Muy Baja",'Mapa final'!#REF!="Moderado"),CONCATENATE("R",'Mapa final'!#REF!),"")</f>
        <v>#REF!</v>
      </c>
      <c r="S24" s="574"/>
      <c r="T24" s="590" t="e">
        <f>IF(AND('Mapa final'!#REF!="Muy Baja",'Mapa final'!#REF!="Mayor"),CONCATENATE("R",'Mapa final'!#REF!),"")</f>
        <v>#REF!</v>
      </c>
      <c r="U24" s="591"/>
      <c r="V24" s="591" t="e">
        <f>IF(AND('Mapa final'!#REF!="Muy Baja",'Mapa final'!#REF!="Mayor"),CONCATENATE("R",'Mapa final'!#REF!),"")</f>
        <v>#REF!</v>
      </c>
      <c r="W24" s="594"/>
      <c r="X24" s="583" t="e">
        <f>IF(AND('Mapa final'!#REF!="Muy Baja",'Mapa final'!#REF!="Catastrófico"),CONCATENATE("R",'Mapa final'!#REF!),"")</f>
        <v>#REF!</v>
      </c>
      <c r="Y24" s="584"/>
      <c r="Z24" s="584" t="e">
        <f>IF(AND('Mapa final'!#REF!="Muy Baja",'Mapa final'!#REF!="Catastrófico"),CONCATENATE("R",'Mapa final'!#REF!),"")</f>
        <v>#REF!</v>
      </c>
      <c r="AA24" s="58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row>
    <row r="25" spans="1:68" ht="15" customHeight="1" x14ac:dyDescent="0.25">
      <c r="A25" s="36"/>
      <c r="B25" s="580"/>
      <c r="C25" s="580"/>
      <c r="D25" s="580"/>
      <c r="E25" s="579"/>
      <c r="F25" s="579"/>
      <c r="G25" s="579"/>
      <c r="H25" s="566"/>
      <c r="I25" s="567"/>
      <c r="J25" s="567"/>
      <c r="K25" s="568"/>
      <c r="L25" s="566"/>
      <c r="M25" s="567"/>
      <c r="N25" s="567"/>
      <c r="O25" s="568"/>
      <c r="P25" s="575"/>
      <c r="Q25" s="576"/>
      <c r="R25" s="576"/>
      <c r="S25" s="577"/>
      <c r="T25" s="592"/>
      <c r="U25" s="593"/>
      <c r="V25" s="593"/>
      <c r="W25" s="595"/>
      <c r="X25" s="587"/>
      <c r="Y25" s="588"/>
      <c r="Z25" s="588"/>
      <c r="AA25" s="589"/>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1:68" x14ac:dyDescent="0.25">
      <c r="A26" s="36"/>
      <c r="B26" s="36"/>
      <c r="C26" s="36"/>
      <c r="D26" s="36"/>
      <c r="E26" s="36"/>
      <c r="F26" s="36"/>
      <c r="G26" s="36"/>
      <c r="H26" s="624" t="s">
        <v>107</v>
      </c>
      <c r="I26" s="625"/>
      <c r="J26" s="625"/>
      <c r="K26" s="625"/>
      <c r="L26" s="624" t="s">
        <v>106</v>
      </c>
      <c r="M26" s="625"/>
      <c r="N26" s="625"/>
      <c r="O26" s="625"/>
      <c r="P26" s="624" t="s">
        <v>105</v>
      </c>
      <c r="Q26" s="625"/>
      <c r="R26" s="625"/>
      <c r="S26" s="625"/>
      <c r="T26" s="624" t="s">
        <v>104</v>
      </c>
      <c r="U26" s="624"/>
      <c r="V26" s="625"/>
      <c r="W26" s="625"/>
      <c r="X26" s="626" t="s">
        <v>103</v>
      </c>
      <c r="Y26" s="627"/>
      <c r="Z26" s="627"/>
      <c r="AA26" s="627"/>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row>
    <row r="27" spans="1:68" x14ac:dyDescent="0.25">
      <c r="A27" s="36"/>
      <c r="B27" s="36"/>
      <c r="C27" s="36"/>
      <c r="D27" s="36"/>
      <c r="E27" s="36"/>
      <c r="F27" s="36"/>
      <c r="G27" s="36"/>
      <c r="H27" s="625"/>
      <c r="I27" s="625"/>
      <c r="J27" s="625"/>
      <c r="K27" s="625"/>
      <c r="L27" s="625"/>
      <c r="M27" s="625"/>
      <c r="N27" s="625"/>
      <c r="O27" s="625"/>
      <c r="P27" s="625"/>
      <c r="Q27" s="625"/>
      <c r="R27" s="625"/>
      <c r="S27" s="625"/>
      <c r="T27" s="625"/>
      <c r="U27" s="625"/>
      <c r="V27" s="625"/>
      <c r="W27" s="625"/>
      <c r="X27" s="627"/>
      <c r="Y27" s="627"/>
      <c r="Z27" s="627"/>
      <c r="AA27" s="627"/>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row>
    <row r="28" spans="1:68" x14ac:dyDescent="0.25">
      <c r="A28" s="36"/>
      <c r="B28" s="36"/>
      <c r="C28" s="36"/>
      <c r="D28" s="36"/>
      <c r="E28" s="36"/>
      <c r="F28" s="36"/>
      <c r="G28" s="36"/>
      <c r="H28" s="625"/>
      <c r="I28" s="625"/>
      <c r="J28" s="625"/>
      <c r="K28" s="625"/>
      <c r="L28" s="625"/>
      <c r="M28" s="625"/>
      <c r="N28" s="625"/>
      <c r="O28" s="625"/>
      <c r="P28" s="625"/>
      <c r="Q28" s="625"/>
      <c r="R28" s="625"/>
      <c r="S28" s="625"/>
      <c r="T28" s="625"/>
      <c r="U28" s="625"/>
      <c r="V28" s="625"/>
      <c r="W28" s="625"/>
      <c r="X28" s="627"/>
      <c r="Y28" s="627"/>
      <c r="Z28" s="627"/>
      <c r="AA28" s="627"/>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row>
    <row r="29" spans="1:68" x14ac:dyDescent="0.25">
      <c r="A29" s="36"/>
      <c r="B29" s="36"/>
      <c r="C29" s="36"/>
      <c r="D29" s="36"/>
      <c r="E29" s="36"/>
      <c r="F29" s="36"/>
      <c r="G29" s="36"/>
      <c r="H29" s="625"/>
      <c r="I29" s="625"/>
      <c r="J29" s="625"/>
      <c r="K29" s="625"/>
      <c r="L29" s="625"/>
      <c r="M29" s="625"/>
      <c r="N29" s="625"/>
      <c r="O29" s="625"/>
      <c r="P29" s="625"/>
      <c r="Q29" s="625"/>
      <c r="R29" s="625"/>
      <c r="S29" s="625"/>
      <c r="T29" s="625"/>
      <c r="U29" s="625"/>
      <c r="V29" s="625"/>
      <c r="W29" s="625"/>
      <c r="X29" s="627"/>
      <c r="Y29" s="627"/>
      <c r="Z29" s="627"/>
      <c r="AA29" s="627"/>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row>
    <row r="30" spans="1:68" x14ac:dyDescent="0.25">
      <c r="A30" s="36"/>
      <c r="B30" s="36"/>
      <c r="C30" s="36"/>
      <c r="D30" s="36"/>
      <c r="E30" s="36"/>
      <c r="F30" s="36"/>
      <c r="G30" s="36"/>
      <c r="H30" s="625"/>
      <c r="I30" s="625"/>
      <c r="J30" s="625"/>
      <c r="K30" s="625"/>
      <c r="L30" s="625"/>
      <c r="M30" s="625"/>
      <c r="N30" s="625"/>
      <c r="O30" s="625"/>
      <c r="P30" s="625"/>
      <c r="Q30" s="625"/>
      <c r="R30" s="625"/>
      <c r="S30" s="625"/>
      <c r="T30" s="625"/>
      <c r="U30" s="625"/>
      <c r="V30" s="625"/>
      <c r="W30" s="625"/>
      <c r="X30" s="627"/>
      <c r="Y30" s="627"/>
      <c r="Z30" s="627"/>
      <c r="AA30" s="627"/>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row>
    <row r="31" spans="1:68" x14ac:dyDescent="0.25">
      <c r="A31" s="36"/>
      <c r="B31" s="36"/>
      <c r="C31" s="36"/>
      <c r="D31" s="36"/>
      <c r="E31" s="36"/>
      <c r="F31" s="36"/>
      <c r="G31" s="36"/>
      <c r="H31" s="625"/>
      <c r="I31" s="625"/>
      <c r="J31" s="625"/>
      <c r="K31" s="625"/>
      <c r="L31" s="625"/>
      <c r="M31" s="625"/>
      <c r="N31" s="625"/>
      <c r="O31" s="625"/>
      <c r="P31" s="625"/>
      <c r="Q31" s="625"/>
      <c r="R31" s="625"/>
      <c r="S31" s="625"/>
      <c r="T31" s="625"/>
      <c r="U31" s="625"/>
      <c r="V31" s="625"/>
      <c r="W31" s="625"/>
      <c r="X31" s="627"/>
      <c r="Y31" s="627"/>
      <c r="Z31" s="627"/>
      <c r="AA31" s="627"/>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row>
    <row r="32" spans="1:68"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row>
    <row r="33" spans="1:68" ht="15" customHeight="1" x14ac:dyDescent="0.25">
      <c r="A33" s="36"/>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row>
    <row r="34" spans="1:68" ht="15" customHeight="1" x14ac:dyDescent="0.25">
      <c r="A34" s="36"/>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row>
    <row r="35" spans="1:68"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row>
    <row r="36" spans="1:68"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row>
    <row r="37" spans="1:68"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row>
    <row r="38" spans="1:68"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row>
    <row r="39" spans="1:68"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row>
    <row r="40" spans="1:68"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row>
    <row r="41" spans="1:68"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row>
    <row r="42" spans="1:68"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row>
    <row r="43" spans="1:68"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row>
    <row r="44" spans="1:68"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row>
    <row r="45" spans="1:68"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row>
    <row r="46" spans="1:68"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row>
    <row r="47" spans="1:68"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row>
    <row r="48" spans="1:68"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row>
    <row r="49" spans="1:68"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row>
    <row r="50" spans="1:68"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row>
    <row r="51" spans="1:68"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row>
    <row r="52" spans="1:68"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row>
    <row r="53" spans="1:68"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row>
    <row r="54" spans="1:68"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row>
    <row r="55" spans="1:68"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row>
    <row r="56" spans="1:68"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row>
    <row r="57" spans="1:68"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row>
    <row r="58" spans="1:68"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row>
    <row r="59" spans="1:68"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row>
    <row r="60" spans="1:68"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row>
    <row r="61" spans="1:68"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row>
    <row r="62" spans="1:68"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row>
    <row r="63" spans="1:68"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row>
    <row r="64" spans="1:68"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row>
    <row r="65" spans="1:5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row>
    <row r="66" spans="1:5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row>
    <row r="67" spans="1:51"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row>
    <row r="68" spans="1:51"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row>
    <row r="69" spans="1:51"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row>
    <row r="70" spans="1:51"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row>
    <row r="71" spans="1:51"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row>
    <row r="72" spans="1:51"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row>
    <row r="73" spans="1:5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row>
    <row r="74" spans="1:51"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row>
    <row r="75" spans="1:51"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row>
    <row r="76" spans="1:51"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row>
    <row r="77" spans="1:51"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row>
    <row r="78" spans="1:5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row>
    <row r="79" spans="1:5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row>
    <row r="80" spans="1:51"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row>
    <row r="81" spans="1:51"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row>
    <row r="82" spans="1:51"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row>
    <row r="83" spans="1:51"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row>
    <row r="84" spans="1:51"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row>
    <row r="85" spans="1:51"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row>
    <row r="86" spans="1:5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row>
    <row r="87" spans="1:51"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row>
    <row r="88" spans="1:51"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row>
    <row r="89" spans="1:51"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row>
    <row r="90" spans="1:5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row>
    <row r="91" spans="1:5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row>
    <row r="92" spans="1:51"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row>
    <row r="93" spans="1:51"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row>
    <row r="94" spans="1:51"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row>
    <row r="95" spans="1:5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row>
    <row r="96" spans="1:5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row>
    <row r="97" spans="1:51"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row>
    <row r="98" spans="1:5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row>
    <row r="99" spans="1:5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row>
    <row r="100" spans="1:51"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row>
    <row r="101" spans="1:51"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row>
    <row r="102" spans="1:51" x14ac:dyDescent="0.25">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row>
    <row r="103" spans="1:51" x14ac:dyDescent="0.25">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row>
    <row r="104" spans="1:51" x14ac:dyDescent="0.25">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row>
    <row r="105" spans="1:51" x14ac:dyDescent="0.25">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row>
    <row r="106" spans="1:51" x14ac:dyDescent="0.25">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row>
    <row r="107" spans="1:51" x14ac:dyDescent="0.25">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row>
    <row r="108" spans="1:51" x14ac:dyDescent="0.25">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row>
    <row r="109" spans="1:51" x14ac:dyDescent="0.25">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row>
    <row r="110" spans="1:51" x14ac:dyDescent="0.25">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row>
    <row r="111" spans="1:51" x14ac:dyDescent="0.25">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row>
    <row r="112" spans="1:51" x14ac:dyDescent="0.25">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row>
    <row r="113" spans="2:51" x14ac:dyDescent="0.2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row>
    <row r="114" spans="2:51" x14ac:dyDescent="0.2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row>
    <row r="115" spans="2:51" x14ac:dyDescent="0.25">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row>
    <row r="116" spans="2:51" x14ac:dyDescent="0.25">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row>
    <row r="117" spans="2:51" x14ac:dyDescent="0.25">
      <c r="B117" s="36"/>
      <c r="C117" s="36"/>
      <c r="D117" s="36"/>
      <c r="E117" s="36"/>
      <c r="F117" s="36"/>
      <c r="G117" s="36"/>
    </row>
    <row r="118" spans="2:51" x14ac:dyDescent="0.25">
      <c r="B118" s="36"/>
      <c r="C118" s="36"/>
      <c r="D118" s="36"/>
      <c r="E118" s="36"/>
      <c r="F118" s="36"/>
      <c r="G118" s="36"/>
    </row>
    <row r="119" spans="2:51" x14ac:dyDescent="0.25">
      <c r="B119" s="36"/>
      <c r="C119" s="36"/>
      <c r="D119" s="36"/>
      <c r="E119" s="36"/>
      <c r="F119" s="36"/>
      <c r="G119" s="36"/>
    </row>
    <row r="120" spans="2:51" x14ac:dyDescent="0.25">
      <c r="B120" s="36"/>
      <c r="C120" s="36"/>
      <c r="D120" s="36"/>
      <c r="E120" s="36"/>
      <c r="F120" s="36"/>
      <c r="G120" s="36"/>
    </row>
  </sheetData>
  <mergeCells count="117">
    <mergeCell ref="AC6:AH9"/>
    <mergeCell ref="AC10:AH13"/>
    <mergeCell ref="AC14:AH17"/>
    <mergeCell ref="AC18:AH21"/>
    <mergeCell ref="E14:G17"/>
    <mergeCell ref="E22:G25"/>
    <mergeCell ref="H26:K31"/>
    <mergeCell ref="L26:O31"/>
    <mergeCell ref="P26:S31"/>
    <mergeCell ref="P6:Q7"/>
    <mergeCell ref="R6:S7"/>
    <mergeCell ref="P8:Q9"/>
    <mergeCell ref="R8:S9"/>
    <mergeCell ref="N6:O7"/>
    <mergeCell ref="T26:W31"/>
    <mergeCell ref="X26:AA31"/>
    <mergeCell ref="L6:M7"/>
    <mergeCell ref="J6:K7"/>
    <mergeCell ref="J8:K9"/>
    <mergeCell ref="H8:I9"/>
    <mergeCell ref="E18:G21"/>
    <mergeCell ref="L8:M9"/>
    <mergeCell ref="N8:O9"/>
    <mergeCell ref="P10:Q11"/>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T24:U25"/>
    <mergeCell ref="V24:W25"/>
    <mergeCell ref="T18:U19"/>
    <mergeCell ref="V18:W19"/>
    <mergeCell ref="T20:U21"/>
    <mergeCell ref="V20:W21"/>
    <mergeCell ref="T14:U15"/>
    <mergeCell ref="V14:W15"/>
    <mergeCell ref="T16:U17"/>
    <mergeCell ref="V16:W17"/>
    <mergeCell ref="T22:U23"/>
    <mergeCell ref="V22:W23"/>
    <mergeCell ref="X22:Y23"/>
    <mergeCell ref="Z22:AA23"/>
    <mergeCell ref="X24:Y25"/>
    <mergeCell ref="Z24:AA25"/>
    <mergeCell ref="X18:Y19"/>
    <mergeCell ref="Z18:AA19"/>
    <mergeCell ref="X20:Y21"/>
    <mergeCell ref="Z20:AA21"/>
    <mergeCell ref="X14:Y15"/>
    <mergeCell ref="Z14:AA15"/>
    <mergeCell ref="X16:Y17"/>
    <mergeCell ref="Z16:AA17"/>
    <mergeCell ref="P14:Q15"/>
    <mergeCell ref="R14:S15"/>
    <mergeCell ref="P16:Q17"/>
    <mergeCell ref="R16:S17"/>
    <mergeCell ref="L14:M15"/>
    <mergeCell ref="N14:O15"/>
    <mergeCell ref="L16:M17"/>
    <mergeCell ref="N16:O17"/>
    <mergeCell ref="H14:I15"/>
    <mergeCell ref="J14:K15"/>
    <mergeCell ref="H16:I17"/>
    <mergeCell ref="J16:K17"/>
    <mergeCell ref="P22:Q23"/>
    <mergeCell ref="R22:S23"/>
    <mergeCell ref="P24:Q25"/>
    <mergeCell ref="R24:S25"/>
    <mergeCell ref="L18:M19"/>
    <mergeCell ref="N18:O19"/>
    <mergeCell ref="L20:M21"/>
    <mergeCell ref="N20:O21"/>
    <mergeCell ref="P18:Q19"/>
    <mergeCell ref="R18:S19"/>
    <mergeCell ref="P20:Q21"/>
    <mergeCell ref="R20:S21"/>
    <mergeCell ref="B2:G4"/>
    <mergeCell ref="L22:M23"/>
    <mergeCell ref="N22:O23"/>
    <mergeCell ref="L24:M25"/>
    <mergeCell ref="N24:O25"/>
    <mergeCell ref="H22:I23"/>
    <mergeCell ref="J22:K23"/>
    <mergeCell ref="H24:I25"/>
    <mergeCell ref="J24:K25"/>
    <mergeCell ref="H18:I19"/>
    <mergeCell ref="J18:K19"/>
    <mergeCell ref="H20:I21"/>
    <mergeCell ref="J20:K21"/>
    <mergeCell ref="L10:M11"/>
    <mergeCell ref="N10:O11"/>
    <mergeCell ref="L12:M13"/>
    <mergeCell ref="N12:O13"/>
    <mergeCell ref="H10:I11"/>
    <mergeCell ref="J10:K11"/>
    <mergeCell ref="H12:I13"/>
    <mergeCell ref="J12:K13"/>
    <mergeCell ref="E6:G9"/>
    <mergeCell ref="E10:G13"/>
    <mergeCell ref="B6:D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BV217"/>
  <sheetViews>
    <sheetView zoomScale="55" zoomScaleNormal="55" workbookViewId="0">
      <selection activeCell="I11" sqref="I11"/>
    </sheetView>
  </sheetViews>
  <sheetFormatPr baseColWidth="10" defaultRowHeight="15" x14ac:dyDescent="0.25"/>
  <cols>
    <col min="2" max="15" width="5.7109375" customWidth="1"/>
    <col min="16" max="16" width="6.7109375" customWidth="1"/>
    <col min="17" max="17" width="5.7109375" customWidth="1"/>
    <col min="18" max="18" width="5.5703125" customWidth="1"/>
    <col min="19" max="19" width="5.7109375" customWidth="1"/>
    <col min="20" max="20" width="6.140625" customWidth="1"/>
    <col min="21" max="22" width="5.7109375" customWidth="1"/>
    <col min="24" max="29" width="5.7109375" customWidth="1"/>
  </cols>
  <sheetData>
    <row r="1" spans="1:74"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pans="1:74" ht="18" customHeight="1" x14ac:dyDescent="0.25">
      <c r="A2" s="36"/>
      <c r="B2" s="642" t="s">
        <v>150</v>
      </c>
      <c r="C2" s="643"/>
      <c r="D2" s="643"/>
      <c r="E2" s="643"/>
      <c r="F2" s="643"/>
      <c r="G2" s="643"/>
      <c r="H2" s="599" t="s">
        <v>1</v>
      </c>
      <c r="I2" s="599"/>
      <c r="J2" s="599"/>
      <c r="K2" s="599"/>
      <c r="L2" s="599"/>
      <c r="M2" s="599"/>
      <c r="N2" s="599"/>
      <c r="O2" s="599"/>
      <c r="P2" s="599"/>
      <c r="Q2" s="599"/>
      <c r="R2" s="599"/>
      <c r="S2" s="599"/>
      <c r="T2" s="599"/>
      <c r="U2" s="599"/>
      <c r="V2" s="599"/>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1:74" ht="18.75" customHeight="1" x14ac:dyDescent="0.25">
      <c r="A3" s="36"/>
      <c r="B3" s="643"/>
      <c r="C3" s="643"/>
      <c r="D3" s="643"/>
      <c r="E3" s="643"/>
      <c r="F3" s="643"/>
      <c r="G3" s="643"/>
      <c r="H3" s="599"/>
      <c r="I3" s="599"/>
      <c r="J3" s="599"/>
      <c r="K3" s="599"/>
      <c r="L3" s="599"/>
      <c r="M3" s="599"/>
      <c r="N3" s="599"/>
      <c r="O3" s="599"/>
      <c r="P3" s="599"/>
      <c r="Q3" s="599"/>
      <c r="R3" s="599"/>
      <c r="S3" s="599"/>
      <c r="T3" s="599"/>
      <c r="U3" s="599"/>
      <c r="V3" s="599"/>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row>
    <row r="4" spans="1:74" ht="15" customHeight="1" x14ac:dyDescent="0.25">
      <c r="A4" s="36"/>
      <c r="B4" s="643"/>
      <c r="C4" s="643"/>
      <c r="D4" s="643"/>
      <c r="E4" s="643"/>
      <c r="F4" s="643"/>
      <c r="G4" s="643"/>
      <c r="H4" s="599"/>
      <c r="I4" s="599"/>
      <c r="J4" s="599"/>
      <c r="K4" s="599"/>
      <c r="L4" s="599"/>
      <c r="M4" s="599"/>
      <c r="N4" s="599"/>
      <c r="O4" s="599"/>
      <c r="P4" s="599"/>
      <c r="Q4" s="599"/>
      <c r="R4" s="599"/>
      <c r="S4" s="599"/>
      <c r="T4" s="599"/>
      <c r="U4" s="599"/>
      <c r="V4" s="599"/>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row>
    <row r="5" spans="1:74"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row>
    <row r="6" spans="1:74" ht="15" customHeight="1" x14ac:dyDescent="0.25">
      <c r="A6" s="36"/>
      <c r="B6" s="580" t="s">
        <v>2</v>
      </c>
      <c r="C6" s="580"/>
      <c r="D6" s="580"/>
      <c r="E6" s="628" t="s">
        <v>111</v>
      </c>
      <c r="F6" s="629"/>
      <c r="G6" s="629"/>
      <c r="H6" s="87" t="str">
        <f>IF(AND('Mapa final'!$AE$9="Muy Alta",'Mapa final'!$AG$9="Leve"),CONCATENATE("R1C",'Mapa final'!$T$9),"")</f>
        <v/>
      </c>
      <c r="I6" s="88" t="e">
        <f>IF(AND('Mapa final'!#REF!="Muy Alta",'Mapa final'!#REF!="Leve"),CONCATENATE("R1C",'Mapa final'!#REF!),"")</f>
        <v>#REF!</v>
      </c>
      <c r="J6" s="89" t="str">
        <f>IF(AND('Mapa final'!$AE$10="Muy Alta",'Mapa final'!$AG$10="Leve"),CONCATENATE("R1C",'Mapa final'!$T$10),"")</f>
        <v/>
      </c>
      <c r="K6" s="87" t="str">
        <f>IF(AND('Mapa final'!$AE$9="Muy Alta",'Mapa final'!$AG$9="Menor"),CONCATENATE("R1C",'Mapa final'!$T$9),"")</f>
        <v/>
      </c>
      <c r="L6" s="88" t="e">
        <f>IF(AND('Mapa final'!#REF!="Muy Alta",'Mapa final'!#REF!="Menor"),CONCATENATE("R1C",'Mapa final'!#REF!),"")</f>
        <v>#REF!</v>
      </c>
      <c r="M6" s="89" t="str">
        <f>IF(AND('Mapa final'!$AE$10="Muy Alta",'Mapa final'!$AG$10="Menor"),CONCATENATE("R1C",'Mapa final'!$T$10),"")</f>
        <v/>
      </c>
      <c r="N6" s="87" t="str">
        <f>IF(AND('Mapa final'!$AE$9="Muy Alta",'Mapa final'!$AG$9="Moderado"),CONCATENATE("R1C",'Mapa final'!$T$9),"")</f>
        <v/>
      </c>
      <c r="O6" s="88" t="e">
        <f>IF(AND('Mapa final'!#REF!="Muy Alta",'Mapa final'!#REF!="Moderado"),CONCATENATE("R1C",'Mapa final'!#REF!),"")</f>
        <v>#REF!</v>
      </c>
      <c r="P6" s="89" t="str">
        <f>IF(AND('Mapa final'!$AE$10="Muy Alta",'Mapa final'!$AG$10="Moderado"),CONCATENATE("R1C",'Mapa final'!$T$10),"")</f>
        <v/>
      </c>
      <c r="Q6" s="87" t="str">
        <f>IF(AND('Mapa final'!$AE$9="Muy Alta",'Mapa final'!$AG$9="Mayor"),CONCATENATE("R1C",'Mapa final'!$T$9),"")</f>
        <v/>
      </c>
      <c r="R6" s="88" t="e">
        <f>IF(AND('Mapa final'!#REF!="Muy Alta",'Mapa final'!#REF!="Mayor"),CONCATENATE("R1C",'Mapa final'!#REF!),"")</f>
        <v>#REF!</v>
      </c>
      <c r="S6" s="89" t="str">
        <f>IF(AND('Mapa final'!$AE$10="Muy Alta",'Mapa final'!$AG$10="Mayor"),CONCATENATE("R1C",'Mapa final'!$T$10),"")</f>
        <v/>
      </c>
      <c r="T6" s="95" t="str">
        <f>IF(AND('Mapa final'!$AE$9="Muy Alta",'Mapa final'!$AG$9="Catastrófico"),CONCATENATE("R1C",'Mapa final'!$T$9),"")</f>
        <v/>
      </c>
      <c r="U6" s="96" t="e">
        <f>IF(AND('Mapa final'!#REF!="Muy Alta",'Mapa final'!#REF!="Catastrófico"),CONCATENATE("R1C",'Mapa final'!#REF!),"")</f>
        <v>#REF!</v>
      </c>
      <c r="V6" s="97" t="str">
        <f>IF(AND('Mapa final'!$AE$10="Muy Alta",'Mapa final'!$AG$10="Catastrófico"),CONCATENATE("R1C",'Mapa final'!$T$10),"")</f>
        <v/>
      </c>
      <c r="W6" s="36"/>
      <c r="X6" s="636" t="s">
        <v>74</v>
      </c>
      <c r="Y6" s="637"/>
      <c r="Z6" s="637"/>
      <c r="AA6" s="637"/>
      <c r="AB6" s="637"/>
      <c r="AC6" s="638"/>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row>
    <row r="7" spans="1:74" ht="15" customHeight="1" x14ac:dyDescent="0.25">
      <c r="A7" s="36"/>
      <c r="B7" s="580"/>
      <c r="C7" s="580"/>
      <c r="D7" s="580"/>
      <c r="E7" s="629"/>
      <c r="F7" s="629"/>
      <c r="G7" s="629"/>
      <c r="H7" s="90" t="e">
        <f>IF(AND('Mapa final'!#REF!="Muy Alta",'Mapa final'!#REF!="Leve"),CONCATENATE("R2C",'Mapa final'!#REF!),"")</f>
        <v>#REF!</v>
      </c>
      <c r="I7" s="32" t="e">
        <f>IF(AND('Mapa final'!#REF!="Muy Alta",'Mapa final'!#REF!="Leve"),CONCATENATE("R2C",'Mapa final'!#REF!),"")</f>
        <v>#REF!</v>
      </c>
      <c r="J7" s="91" t="e">
        <f>IF(AND('Mapa final'!#REF!="Muy Alta",'Mapa final'!#REF!="Leve"),CONCATENATE("R2C",'Mapa final'!#REF!),"")</f>
        <v>#REF!</v>
      </c>
      <c r="K7" s="90" t="e">
        <f>IF(AND('Mapa final'!#REF!="Muy Alta",'Mapa final'!#REF!="Menor"),CONCATENATE("R2C",'Mapa final'!#REF!),"")</f>
        <v>#REF!</v>
      </c>
      <c r="L7" s="32" t="e">
        <f>IF(AND('Mapa final'!#REF!="Muy Alta",'Mapa final'!#REF!="Menor"),CONCATENATE("R2C",'Mapa final'!#REF!),"")</f>
        <v>#REF!</v>
      </c>
      <c r="M7" s="91" t="e">
        <f>IF(AND('Mapa final'!#REF!="Muy Alta",'Mapa final'!#REF!="Menor"),CONCATENATE("R2C",'Mapa final'!#REF!),"")</f>
        <v>#REF!</v>
      </c>
      <c r="N7" s="90" t="e">
        <f>IF(AND('Mapa final'!#REF!="Muy Alta",'Mapa final'!#REF!="Moderado"),CONCATENATE("R2C",'Mapa final'!#REF!),"")</f>
        <v>#REF!</v>
      </c>
      <c r="O7" s="32" t="e">
        <f>IF(AND('Mapa final'!#REF!="Muy Alta",'Mapa final'!#REF!="Moderado"),CONCATENATE("R2C",'Mapa final'!#REF!),"")</f>
        <v>#REF!</v>
      </c>
      <c r="P7" s="91" t="e">
        <f>IF(AND('Mapa final'!#REF!="Muy Alta",'Mapa final'!#REF!="Moderado"),CONCATENATE("R2C",'Mapa final'!#REF!),"")</f>
        <v>#REF!</v>
      </c>
      <c r="Q7" s="90" t="e">
        <f>IF(AND('Mapa final'!#REF!="Muy Alta",'Mapa final'!#REF!="Mayor"),CONCATENATE("R2C",'Mapa final'!#REF!),"")</f>
        <v>#REF!</v>
      </c>
      <c r="R7" s="32" t="e">
        <f>IF(AND('Mapa final'!#REF!="Muy Alta",'Mapa final'!#REF!="Mayor"),CONCATENATE("R2C",'Mapa final'!#REF!),"")</f>
        <v>#REF!</v>
      </c>
      <c r="S7" s="91" t="e">
        <f>IF(AND('Mapa final'!#REF!="Muy Alta",'Mapa final'!#REF!="Mayor"),CONCATENATE("R2C",'Mapa final'!#REF!),"")</f>
        <v>#REF!</v>
      </c>
      <c r="T7" s="98" t="e">
        <f>IF(AND('Mapa final'!#REF!="Muy Alta",'Mapa final'!#REF!="Catastrófico"),CONCATENATE("R2C",'Mapa final'!#REF!),"")</f>
        <v>#REF!</v>
      </c>
      <c r="U7" s="33" t="e">
        <f>IF(AND('Mapa final'!#REF!="Muy Alta",'Mapa final'!#REF!="Catastrófico"),CONCATENATE("R2C",'Mapa final'!#REF!),"")</f>
        <v>#REF!</v>
      </c>
      <c r="V7" s="99" t="e">
        <f>IF(AND('Mapa final'!#REF!="Muy Alta",'Mapa final'!#REF!="Catastrófico"),CONCATENATE("R2C",'Mapa final'!#REF!),"")</f>
        <v>#REF!</v>
      </c>
      <c r="W7" s="36"/>
      <c r="X7" s="639"/>
      <c r="Y7" s="640"/>
      <c r="Z7" s="640"/>
      <c r="AA7" s="640"/>
      <c r="AB7" s="640"/>
      <c r="AC7" s="641"/>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row>
    <row r="8" spans="1:74" ht="15" customHeight="1" x14ac:dyDescent="0.25">
      <c r="A8" s="36"/>
      <c r="B8" s="580"/>
      <c r="C8" s="580"/>
      <c r="D8" s="580"/>
      <c r="E8" s="629"/>
      <c r="F8" s="629"/>
      <c r="G8" s="629"/>
      <c r="H8" s="90" t="e">
        <f>IF(AND('Mapa final'!#REF!="Muy Alta",'Mapa final'!#REF!="Leve"),CONCATENATE("R3C",'Mapa final'!#REF!),"")</f>
        <v>#REF!</v>
      </c>
      <c r="I8" s="32" t="e">
        <f>IF(AND('Mapa final'!#REF!="Muy Alta",'Mapa final'!#REF!="Leve"),CONCATENATE("R3C",'Mapa final'!#REF!),"")</f>
        <v>#REF!</v>
      </c>
      <c r="J8" s="91" t="e">
        <f>IF(AND('Mapa final'!#REF!="Muy Alta",'Mapa final'!#REF!="Leve"),CONCATENATE("R3C",'Mapa final'!#REF!),"")</f>
        <v>#REF!</v>
      </c>
      <c r="K8" s="90" t="e">
        <f>IF(AND('Mapa final'!#REF!="Muy Alta",'Mapa final'!#REF!="Menor"),CONCATENATE("R3C",'Mapa final'!#REF!),"")</f>
        <v>#REF!</v>
      </c>
      <c r="L8" s="32" t="e">
        <f>IF(AND('Mapa final'!#REF!="Muy Alta",'Mapa final'!#REF!="Menor"),CONCATENATE("R3C",'Mapa final'!#REF!),"")</f>
        <v>#REF!</v>
      </c>
      <c r="M8" s="91" t="e">
        <f>IF(AND('Mapa final'!#REF!="Muy Alta",'Mapa final'!#REF!="Menor"),CONCATENATE("R3C",'Mapa final'!#REF!),"")</f>
        <v>#REF!</v>
      </c>
      <c r="N8" s="90" t="e">
        <f>IF(AND('Mapa final'!#REF!="Muy Alta",'Mapa final'!#REF!="Moderado"),CONCATENATE("R3C",'Mapa final'!#REF!),"")</f>
        <v>#REF!</v>
      </c>
      <c r="O8" s="32" t="e">
        <f>IF(AND('Mapa final'!#REF!="Muy Alta",'Mapa final'!#REF!="Moderado"),CONCATENATE("R3C",'Mapa final'!#REF!),"")</f>
        <v>#REF!</v>
      </c>
      <c r="P8" s="91" t="e">
        <f>IF(AND('Mapa final'!#REF!="Muy Alta",'Mapa final'!#REF!="Moderado"),CONCATENATE("R3C",'Mapa final'!#REF!),"")</f>
        <v>#REF!</v>
      </c>
      <c r="Q8" s="90" t="e">
        <f>IF(AND('Mapa final'!#REF!="Muy Alta",'Mapa final'!#REF!="Mayor"),CONCATENATE("R3C",'Mapa final'!#REF!),"")</f>
        <v>#REF!</v>
      </c>
      <c r="R8" s="32" t="e">
        <f>IF(AND('Mapa final'!#REF!="Muy Alta",'Mapa final'!#REF!="Mayor"),CONCATENATE("R3C",'Mapa final'!#REF!),"")</f>
        <v>#REF!</v>
      </c>
      <c r="S8" s="91" t="e">
        <f>IF(AND('Mapa final'!#REF!="Muy Alta",'Mapa final'!#REF!="Mayor"),CONCATENATE("R3C",'Mapa final'!#REF!),"")</f>
        <v>#REF!</v>
      </c>
      <c r="T8" s="98" t="e">
        <f>IF(AND('Mapa final'!#REF!="Muy Alta",'Mapa final'!#REF!="Catastrófico"),CONCATENATE("R3C",'Mapa final'!#REF!),"")</f>
        <v>#REF!</v>
      </c>
      <c r="U8" s="33" t="e">
        <f>IF(AND('Mapa final'!#REF!="Muy Alta",'Mapa final'!#REF!="Catastrófico"),CONCATENATE("R3C",'Mapa final'!#REF!),"")</f>
        <v>#REF!</v>
      </c>
      <c r="V8" s="99" t="e">
        <f>IF(AND('Mapa final'!#REF!="Muy Alta",'Mapa final'!#REF!="Catastrófico"),CONCATENATE("R3C",'Mapa final'!#REF!),"")</f>
        <v>#REF!</v>
      </c>
      <c r="W8" s="36"/>
      <c r="X8" s="639"/>
      <c r="Y8" s="640"/>
      <c r="Z8" s="640"/>
      <c r="AA8" s="640"/>
      <c r="AB8" s="640"/>
      <c r="AC8" s="641"/>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row>
    <row r="9" spans="1:74" ht="15" customHeight="1" thickBot="1" x14ac:dyDescent="0.3">
      <c r="A9" s="36"/>
      <c r="B9" s="580"/>
      <c r="C9" s="580"/>
      <c r="D9" s="580"/>
      <c r="E9" s="629"/>
      <c r="F9" s="629"/>
      <c r="G9" s="629"/>
      <c r="H9" s="92" t="e">
        <f>IF(AND('Mapa final'!#REF!="Muy Baja",'Mapa final'!#REF!="Catastrófico"),CONCATENATE("R4",'Mapa final'!#REF!),"")</f>
        <v>#REF!</v>
      </c>
      <c r="I9" s="93" t="e">
        <f>IF(AND('Mapa final'!#REF!="Muy Baja",'Mapa final'!#REF!="Catastrófico"),CONCATENATE("R4",'Mapa final'!#REF!),"")</f>
        <v>#REF!</v>
      </c>
      <c r="J9" s="94" t="e">
        <f>IF(AND('Mapa final'!#REF!="Muy Baja",'Mapa final'!#REF!="Catastrófico"),CONCATENATE("R4",'Mapa final'!#REF!),"")</f>
        <v>#REF!</v>
      </c>
      <c r="K9" s="92" t="e">
        <f>IF(AND('Mapa final'!#REF!="Muy Alta",'Mapa final'!#REF!="Menor"),CONCATENATE("R4C",'Mapa final'!#REF!),"")</f>
        <v>#REF!</v>
      </c>
      <c r="L9" s="93" t="e">
        <f>IF(AND('Mapa final'!#REF!="Muy Alta",'Mapa final'!#REF!="Menor"),CONCATENATE("R4C",'Mapa final'!#REF!),"")</f>
        <v>#REF!</v>
      </c>
      <c r="M9" s="94" t="e">
        <f>IF(AND('Mapa final'!#REF!="Muy Alta",'Mapa final'!#REF!="Menor"),CONCATENATE("R4C",'Mapa final'!#REF!),"")</f>
        <v>#REF!</v>
      </c>
      <c r="N9" s="92" t="e">
        <f>IF(AND('Mapa final'!#REF!="Muy Alta",'Mapa final'!#REF!="Moderado"),CONCATENATE("R4C",'Mapa final'!#REF!),"")</f>
        <v>#REF!</v>
      </c>
      <c r="O9" s="93" t="e">
        <f>IF(AND('Mapa final'!#REF!="Muy Alta",'Mapa final'!#REF!="Moderado"),CONCATENATE("R4C",'Mapa final'!#REF!),"")</f>
        <v>#REF!</v>
      </c>
      <c r="P9" s="94" t="e">
        <f>IF(AND('Mapa final'!#REF!="Muy Alta",'Mapa final'!#REF!="Moderado"),CONCATENATE("R4C",'Mapa final'!#REF!),"")</f>
        <v>#REF!</v>
      </c>
      <c r="Q9" s="92" t="e">
        <f>IF(AND('Mapa final'!#REF!="Muy Alta",'Mapa final'!#REF!="Mayor"),CONCATENATE("R4C",'Mapa final'!#REF!),"")</f>
        <v>#REF!</v>
      </c>
      <c r="R9" s="93" t="e">
        <f>IF(AND('Mapa final'!#REF!="Muy Alta",'Mapa final'!#REF!="Mayor"),CONCATENATE("R4C",'Mapa final'!#REF!),"")</f>
        <v>#REF!</v>
      </c>
      <c r="S9" s="94" t="e">
        <f>IF(AND('Mapa final'!#REF!="Muy Alta",'Mapa final'!#REF!="Mayor"),CONCATENATE("R4C",'Mapa final'!#REF!),"")</f>
        <v>#REF!</v>
      </c>
      <c r="T9" s="100" t="e">
        <f>IF(AND('Mapa final'!#REF!="Muy Alta",'Mapa final'!#REF!="Catastrófico"),CONCATENATE("R4C",'Mapa final'!#REF!),"")</f>
        <v>#REF!</v>
      </c>
      <c r="U9" s="101" t="e">
        <f>IF(AND('Mapa final'!#REF!="Muy Alta",'Mapa final'!#REF!="Catastrófico"),CONCATENATE("R4C",'Mapa final'!#REF!),"")</f>
        <v>#REF!</v>
      </c>
      <c r="V9" s="102" t="e">
        <f>IF(AND('Mapa final'!#REF!="Muy Alta",'Mapa final'!#REF!="Catastrófico"),CONCATENATE("R4C",'Mapa final'!#REF!),"")</f>
        <v>#REF!</v>
      </c>
      <c r="W9" s="36"/>
      <c r="X9" s="639"/>
      <c r="Y9" s="640"/>
      <c r="Z9" s="640"/>
      <c r="AA9" s="640"/>
      <c r="AB9" s="640"/>
      <c r="AC9" s="641"/>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row>
    <row r="10" spans="1:74" ht="15" customHeight="1" x14ac:dyDescent="0.25">
      <c r="A10" s="36"/>
      <c r="B10" s="580"/>
      <c r="C10" s="580"/>
      <c r="D10" s="580"/>
      <c r="E10" s="628" t="s">
        <v>110</v>
      </c>
      <c r="F10" s="629"/>
      <c r="G10" s="629"/>
      <c r="H10" s="103" t="str">
        <f>IF(AND('Mapa final'!$AE$9="Alta",'Mapa final'!$AG$9="Leve"),CONCATENATE("R1C",'Mapa final'!$T$9),"")</f>
        <v/>
      </c>
      <c r="I10" s="104" t="e">
        <f>IF(AND('Mapa final'!#REF!="Alta",'Mapa final'!#REF!="Leve"),CONCATENATE("R1C",'Mapa final'!#REF!),"")</f>
        <v>#REF!</v>
      </c>
      <c r="J10" s="105" t="str">
        <f>IF(AND('Mapa final'!$AE$10="Alta",'Mapa final'!$AG$10="Leve"),CONCATENATE("R1C",'Mapa final'!$T$10),"")</f>
        <v/>
      </c>
      <c r="K10" s="103" t="str">
        <f>IF(AND('Mapa final'!$AE$9="Alta",'Mapa final'!$AG$9="Menor"),CONCATENATE("R1C",'Mapa final'!$T$9),"")</f>
        <v/>
      </c>
      <c r="L10" s="104" t="e">
        <f>IF(AND('Mapa final'!#REF!="Alta",'Mapa final'!#REF!="Menor"),CONCATENATE("R1C",'Mapa final'!#REF!),"")</f>
        <v>#REF!</v>
      </c>
      <c r="M10" s="105" t="str">
        <f>IF(AND('Mapa final'!$AE$10="Alta",'Mapa final'!$AG$10="Menor"),CONCATENATE("R1C",'Mapa final'!$T$10),"")</f>
        <v/>
      </c>
      <c r="N10" s="32" t="str">
        <f>IF(AND('Mapa final'!$AE$9="Alta",'Mapa final'!$AG$9="Moderado"),CONCATENATE("R1C",'Mapa final'!$T$9),"")</f>
        <v/>
      </c>
      <c r="O10" s="32" t="e">
        <f>IF(AND('Mapa final'!#REF!="Alta",'Mapa final'!#REF!="Moderado"),CONCATENATE("R1C",'Mapa final'!#REF!),"")</f>
        <v>#REF!</v>
      </c>
      <c r="P10" s="32" t="str">
        <f>IF(AND('Mapa final'!$AE$10="Alta",'Mapa final'!$AG$10="Moderado"),CONCATENATE("R1C",'Mapa final'!$T$10),"")</f>
        <v/>
      </c>
      <c r="Q10" s="87" t="str">
        <f>IF(AND('Mapa final'!$AE$9="Alta",'Mapa final'!$AG$9="Mayor"),CONCATENATE("R1C",'Mapa final'!$T$9),"")</f>
        <v/>
      </c>
      <c r="R10" s="88" t="e">
        <f>IF(AND('Mapa final'!#REF!="Alta",'Mapa final'!#REF!="Mayor"),CONCATENATE("R1C",'Mapa final'!#REF!),"")</f>
        <v>#REF!</v>
      </c>
      <c r="S10" s="89" t="str">
        <f>IF(AND('Mapa final'!$AE$10="Alta",'Mapa final'!$AG$10="Mayor"),CONCATENATE("R1C",'Mapa final'!$T$10),"")</f>
        <v/>
      </c>
      <c r="T10" s="95" t="str">
        <f>IF(AND('Mapa final'!$AE$9="Alta",'Mapa final'!$AG$9="Catastrófico"),CONCATENATE("R1C",'Mapa final'!$T$9),"")</f>
        <v/>
      </c>
      <c r="U10" s="96" t="e">
        <f>IF(AND('Mapa final'!#REF!="Alta",'Mapa final'!#REF!="Catastrófico"),CONCATENATE("R1C",'Mapa final'!#REF!),"")</f>
        <v>#REF!</v>
      </c>
      <c r="V10" s="97" t="str">
        <f>IF(AND('Mapa final'!$AE$10="Alta",'Mapa final'!$AG$10="Catastrófico"),CONCATENATE("R1C",'Mapa final'!$T$10),"")</f>
        <v/>
      </c>
      <c r="W10" s="36"/>
      <c r="X10" s="630" t="s">
        <v>75</v>
      </c>
      <c r="Y10" s="631"/>
      <c r="Z10" s="631"/>
      <c r="AA10" s="631"/>
      <c r="AB10" s="631"/>
      <c r="AC10" s="632"/>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row>
    <row r="11" spans="1:74" ht="15" customHeight="1" x14ac:dyDescent="0.25">
      <c r="A11" s="36"/>
      <c r="B11" s="580"/>
      <c r="C11" s="580"/>
      <c r="D11" s="580"/>
      <c r="E11" s="628"/>
      <c r="F11" s="629"/>
      <c r="G11" s="629"/>
      <c r="H11" s="106" t="e">
        <f>IF(AND('Mapa final'!#REF!="Alta",'Mapa final'!#REF!="Leve"),CONCATENATE("R2C",'Mapa final'!#REF!),"")</f>
        <v>#REF!</v>
      </c>
      <c r="I11" s="34" t="e">
        <f>IF(AND('Mapa final'!#REF!="Alta",'Mapa final'!#REF!="Leve"),CONCATENATE("R2C",'Mapa final'!#REF!),"")</f>
        <v>#REF!</v>
      </c>
      <c r="J11" s="107" t="e">
        <f>IF(AND('Mapa final'!#REF!="Alta",'Mapa final'!#REF!="Leve"),CONCATENATE("R2C",'Mapa final'!#REF!),"")</f>
        <v>#REF!</v>
      </c>
      <c r="K11" s="106" t="e">
        <f>IF(AND('Mapa final'!#REF!="Alta",'Mapa final'!#REF!="Menor"),CONCATENATE("R2C",'Mapa final'!#REF!),"")</f>
        <v>#REF!</v>
      </c>
      <c r="L11" s="34" t="e">
        <f>IF(AND('Mapa final'!#REF!="Alta",'Mapa final'!#REF!="Menor"),CONCATENATE("R2C",'Mapa final'!#REF!),"")</f>
        <v>#REF!</v>
      </c>
      <c r="M11" s="107" t="e">
        <f>IF(AND('Mapa final'!#REF!="Alta",'Mapa final'!#REF!="Menor"),CONCATENATE("R2C",'Mapa final'!#REF!),"")</f>
        <v>#REF!</v>
      </c>
      <c r="N11" s="32" t="e">
        <f>IF(AND('Mapa final'!#REF!="Alta",'Mapa final'!#REF!="Moderado"),CONCATENATE("R2C",'Mapa final'!#REF!),"")</f>
        <v>#REF!</v>
      </c>
      <c r="O11" s="32" t="e">
        <f>IF(AND('Mapa final'!#REF!="Alta",'Mapa final'!#REF!="Moderado"),CONCATENATE("R2C",'Mapa final'!#REF!),"")</f>
        <v>#REF!</v>
      </c>
      <c r="P11" s="32" t="e">
        <f>IF(AND('Mapa final'!#REF!="Alta",'Mapa final'!#REF!="Moderado"),CONCATENATE("R2C",'Mapa final'!#REF!),"")</f>
        <v>#REF!</v>
      </c>
      <c r="Q11" s="90" t="e">
        <f>IF(AND('Mapa final'!#REF!="Alta",'Mapa final'!#REF!="Mayor"),CONCATENATE("R2C",'Mapa final'!#REF!),"")</f>
        <v>#REF!</v>
      </c>
      <c r="R11" s="32" t="e">
        <f>IF(AND('Mapa final'!#REF!="Alta",'Mapa final'!#REF!="Mayor"),CONCATENATE("R2C",'Mapa final'!#REF!),"")</f>
        <v>#REF!</v>
      </c>
      <c r="S11" s="91" t="e">
        <f>IF(AND('Mapa final'!#REF!="Alta",'Mapa final'!#REF!="Mayor"),CONCATENATE("R2C",'Mapa final'!#REF!),"")</f>
        <v>#REF!</v>
      </c>
      <c r="T11" s="98" t="e">
        <f>IF(AND('Mapa final'!#REF!="Alta",'Mapa final'!#REF!="Catastrófico"),CONCATENATE("R2C",'Mapa final'!#REF!),"")</f>
        <v>#REF!</v>
      </c>
      <c r="U11" s="33" t="e">
        <f>IF(AND('Mapa final'!#REF!="Alta",'Mapa final'!#REF!="Catastrófico"),CONCATENATE("R2C",'Mapa final'!#REF!),"")</f>
        <v>#REF!</v>
      </c>
      <c r="V11" s="99" t="e">
        <f>IF(AND('Mapa final'!#REF!="Alta",'Mapa final'!#REF!="Catastrófico"),CONCATENATE("R2C",'Mapa final'!#REF!),"")</f>
        <v>#REF!</v>
      </c>
      <c r="W11" s="36"/>
      <c r="X11" s="633"/>
      <c r="Y11" s="634"/>
      <c r="Z11" s="634"/>
      <c r="AA11" s="634"/>
      <c r="AB11" s="634"/>
      <c r="AC11" s="635"/>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row>
    <row r="12" spans="1:74" ht="15" customHeight="1" x14ac:dyDescent="0.25">
      <c r="A12" s="36"/>
      <c r="B12" s="580"/>
      <c r="C12" s="580"/>
      <c r="D12" s="580"/>
      <c r="E12" s="629"/>
      <c r="F12" s="629"/>
      <c r="G12" s="629"/>
      <c r="H12" s="106" t="e">
        <f>IF(AND('Mapa final'!#REF!="Alta",'Mapa final'!#REF!="Leve"),CONCATENATE("R3C",'Mapa final'!#REF!),"")</f>
        <v>#REF!</v>
      </c>
      <c r="I12" s="34" t="e">
        <f>IF(AND('Mapa final'!#REF!="Alta",'Mapa final'!#REF!="Leve"),CONCATENATE("R3C",'Mapa final'!#REF!),"")</f>
        <v>#REF!</v>
      </c>
      <c r="J12" s="107" t="e">
        <f>IF(AND('Mapa final'!#REF!="Alta",'Mapa final'!#REF!="Leve"),CONCATENATE("R3C",'Mapa final'!#REF!),"")</f>
        <v>#REF!</v>
      </c>
      <c r="K12" s="106" t="e">
        <f>IF(AND('Mapa final'!#REF!="Alta",'Mapa final'!#REF!="Menor"),CONCATENATE("R3C",'Mapa final'!#REF!),"")</f>
        <v>#REF!</v>
      </c>
      <c r="L12" s="34" t="e">
        <f>IF(AND('Mapa final'!#REF!="Alta",'Mapa final'!#REF!="Menor"),CONCATENATE("R3C",'Mapa final'!#REF!),"")</f>
        <v>#REF!</v>
      </c>
      <c r="M12" s="107" t="e">
        <f>IF(AND('Mapa final'!#REF!="Alta",'Mapa final'!#REF!="Menor"),CONCATENATE("R3C",'Mapa final'!#REF!),"")</f>
        <v>#REF!</v>
      </c>
      <c r="N12" s="32" t="e">
        <f>IF(AND('Mapa final'!#REF!="Alta",'Mapa final'!#REF!="Moderado"),CONCATENATE("R3C",'Mapa final'!#REF!),"")</f>
        <v>#REF!</v>
      </c>
      <c r="O12" s="32" t="e">
        <f>IF(AND('Mapa final'!#REF!="Alta",'Mapa final'!#REF!="Moderado"),CONCATENATE("R3C",'Mapa final'!#REF!),"")</f>
        <v>#REF!</v>
      </c>
      <c r="P12" s="32" t="e">
        <f>IF(AND('Mapa final'!#REF!="Alta",'Mapa final'!#REF!="Moderado"),CONCATENATE("R3C",'Mapa final'!#REF!),"")</f>
        <v>#REF!</v>
      </c>
      <c r="Q12" s="90" t="e">
        <f>IF(AND('Mapa final'!#REF!="Alta",'Mapa final'!#REF!="Mayor"),CONCATENATE("R3C",'Mapa final'!#REF!),"")</f>
        <v>#REF!</v>
      </c>
      <c r="R12" s="32" t="e">
        <f>IF(AND('Mapa final'!#REF!="Alta",'Mapa final'!#REF!="Mayor"),CONCATENATE("R3C",'Mapa final'!#REF!),"")</f>
        <v>#REF!</v>
      </c>
      <c r="S12" s="91" t="e">
        <f>IF(AND('Mapa final'!#REF!="Alta",'Mapa final'!#REF!="Mayor"),CONCATENATE("R3C",'Mapa final'!#REF!),"")</f>
        <v>#REF!</v>
      </c>
      <c r="T12" s="98" t="e">
        <f>IF(AND('Mapa final'!#REF!="Alta",'Mapa final'!#REF!="Catastrófico"),CONCATENATE("R3C",'Mapa final'!#REF!),"")</f>
        <v>#REF!</v>
      </c>
      <c r="U12" s="33" t="e">
        <f>IF(AND('Mapa final'!#REF!="Alta",'Mapa final'!#REF!="Catastrófico"),CONCATENATE("R3C",'Mapa final'!#REF!),"")</f>
        <v>#REF!</v>
      </c>
      <c r="V12" s="99" t="e">
        <f>IF(AND('Mapa final'!#REF!="Alta",'Mapa final'!#REF!="Catastrófico"),CONCATENATE("R3C",'Mapa final'!#REF!),"")</f>
        <v>#REF!</v>
      </c>
      <c r="W12" s="36"/>
      <c r="X12" s="633"/>
      <c r="Y12" s="634"/>
      <c r="Z12" s="634"/>
      <c r="AA12" s="634"/>
      <c r="AB12" s="634"/>
      <c r="AC12" s="635"/>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row>
    <row r="13" spans="1:74" ht="15" customHeight="1" thickBot="1" x14ac:dyDescent="0.3">
      <c r="A13" s="36"/>
      <c r="B13" s="580"/>
      <c r="C13" s="580"/>
      <c r="D13" s="580"/>
      <c r="E13" s="629"/>
      <c r="F13" s="629"/>
      <c r="G13" s="629"/>
      <c r="H13" s="108" t="e">
        <f>IF(AND('Mapa final'!#REF!="Alta",'Mapa final'!#REF!="Leve"),CONCATENATE("R4C",'Mapa final'!#REF!),"")</f>
        <v>#REF!</v>
      </c>
      <c r="I13" s="109" t="e">
        <f>IF(AND('Mapa final'!#REF!="Alta",'Mapa final'!#REF!="Leve"),CONCATENATE("R4C",'Mapa final'!#REF!),"")</f>
        <v>#REF!</v>
      </c>
      <c r="J13" s="110" t="e">
        <f>IF(AND('Mapa final'!#REF!="Alta",'Mapa final'!#REF!="Leve"),CONCATENATE("R4C",'Mapa final'!#REF!),"")</f>
        <v>#REF!</v>
      </c>
      <c r="K13" s="108" t="e">
        <f>IF(AND('Mapa final'!#REF!="Alta",'Mapa final'!#REF!="Menor"),CONCATENATE("R4C",'Mapa final'!#REF!),"")</f>
        <v>#REF!</v>
      </c>
      <c r="L13" s="109" t="e">
        <f>IF(AND('Mapa final'!#REF!="Alta",'Mapa final'!#REF!="Menor"),CONCATENATE("R4C",'Mapa final'!#REF!),"")</f>
        <v>#REF!</v>
      </c>
      <c r="M13" s="110" t="e">
        <f>IF(AND('Mapa final'!#REF!="Alta",'Mapa final'!#REF!="Menor"),CONCATENATE("R4C",'Mapa final'!#REF!),"")</f>
        <v>#REF!</v>
      </c>
      <c r="N13" s="32" t="e">
        <f>IF(AND('Mapa final'!#REF!="Alta",'Mapa final'!#REF!="Moderado"),CONCATENATE("R4C",'Mapa final'!#REF!),"")</f>
        <v>#REF!</v>
      </c>
      <c r="O13" s="32" t="e">
        <f>IF(AND('Mapa final'!#REF!="Alta",'Mapa final'!#REF!="Moderado"),CONCATENATE("R4C",'Mapa final'!#REF!),"")</f>
        <v>#REF!</v>
      </c>
      <c r="P13" s="32" t="e">
        <f>IF(AND('Mapa final'!#REF!="Alta",'Mapa final'!#REF!="Moderado"),CONCATENATE("R4C",'Mapa final'!#REF!),"")</f>
        <v>#REF!</v>
      </c>
      <c r="Q13" s="92" t="e">
        <f>IF(AND('Mapa final'!#REF!="Alta",'Mapa final'!#REF!="Mayor"),CONCATENATE("R4C",'Mapa final'!#REF!),"")</f>
        <v>#REF!</v>
      </c>
      <c r="R13" s="93" t="e">
        <f>IF(AND('Mapa final'!#REF!="Alta",'Mapa final'!#REF!="Mayor"),CONCATENATE("R4C",'Mapa final'!#REF!),"")</f>
        <v>#REF!</v>
      </c>
      <c r="S13" s="94" t="e">
        <f>IF(AND('Mapa final'!#REF!="Alta",'Mapa final'!#REF!="Mayor"),CONCATENATE("R4C",'Mapa final'!#REF!),"")</f>
        <v>#REF!</v>
      </c>
      <c r="T13" s="100" t="e">
        <f>IF(AND('Mapa final'!#REF!="Alta",'Mapa final'!#REF!="Catastrófico"),CONCATENATE("R4C",'Mapa final'!#REF!),"")</f>
        <v>#REF!</v>
      </c>
      <c r="U13" s="101" t="e">
        <f>IF(AND('Mapa final'!#REF!="Alta",'Mapa final'!#REF!="Catastrófico"),CONCATENATE("R4C",'Mapa final'!#REF!),"")</f>
        <v>#REF!</v>
      </c>
      <c r="V13" s="102" t="e">
        <f>IF(AND('Mapa final'!#REF!="Alta",'Mapa final'!#REF!="Catastrófico"),CONCATENATE("R4C",'Mapa final'!#REF!),"")</f>
        <v>#REF!</v>
      </c>
      <c r="W13" s="36"/>
      <c r="X13" s="633"/>
      <c r="Y13" s="634"/>
      <c r="Z13" s="634"/>
      <c r="AA13" s="634"/>
      <c r="AB13" s="634"/>
      <c r="AC13" s="635"/>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row>
    <row r="14" spans="1:74" ht="15" customHeight="1" x14ac:dyDescent="0.25">
      <c r="A14" s="36"/>
      <c r="B14" s="580"/>
      <c r="C14" s="580"/>
      <c r="D14" s="580"/>
      <c r="E14" s="628" t="s">
        <v>112</v>
      </c>
      <c r="F14" s="629"/>
      <c r="G14" s="629"/>
      <c r="H14" s="103" t="str">
        <f>IF(AND('Mapa final'!$AE$9="Media",'Mapa final'!$AG$9="Leve"),CONCATENATE("R1C",'Mapa final'!$T$9),"")</f>
        <v/>
      </c>
      <c r="I14" s="104" t="e">
        <f>IF(AND('Mapa final'!#REF!="Media",'Mapa final'!#REF!="Leve"),CONCATENATE("R1C",'Mapa final'!#REF!),"")</f>
        <v>#REF!</v>
      </c>
      <c r="J14" s="105" t="str">
        <f>IF(AND('Mapa final'!$AE$10="Media",'Mapa final'!$AG$10="Leve"),CONCATENATE("R1C",'Mapa final'!$T$10),"")</f>
        <v/>
      </c>
      <c r="K14" s="103" t="str">
        <f>IF(AND('Mapa final'!$AE$9="Media",'Mapa final'!$AG$9="Menor"),CONCATENATE("R1C",'Mapa final'!$T$9),"")</f>
        <v/>
      </c>
      <c r="L14" s="104" t="e">
        <f>IF(AND('Mapa final'!#REF!="Media",'Mapa final'!#REF!="Menor"),CONCATENATE("R1C",'Mapa final'!#REF!),"")</f>
        <v>#REF!</v>
      </c>
      <c r="M14" s="105" t="str">
        <f>IF(AND('Mapa final'!$AE$10="Media",'Mapa final'!$AG$10="Menor"),CONCATENATE("R1C",'Mapa final'!$T$10),"")</f>
        <v/>
      </c>
      <c r="N14" s="103" t="str">
        <f>IF(AND('Mapa final'!$AE$9="Media",'Mapa final'!$AG$9="Moderado"),CONCATENATE("R1C",'Mapa final'!$T$9),"")</f>
        <v/>
      </c>
      <c r="O14" s="104" t="e">
        <f>IF(AND('Mapa final'!#REF!="Media",'Mapa final'!#REF!="Moderado"),CONCATENATE("R1C",'Mapa final'!#REF!),"")</f>
        <v>#REF!</v>
      </c>
      <c r="P14" s="105" t="str">
        <f>IF(AND('Mapa final'!$AE$10="Media",'Mapa final'!$AG$10="Moderado"),CONCATENATE("R1C",'Mapa final'!$T$10),"")</f>
        <v/>
      </c>
      <c r="Q14" s="87" t="str">
        <f>IF(AND('Mapa final'!$AE$9="Media",'Mapa final'!$AG$9="Mayor"),CONCATENATE("R1C",'Mapa final'!$T$9),"")</f>
        <v/>
      </c>
      <c r="R14" s="88" t="e">
        <f>IF(AND('Mapa final'!#REF!="Media",'Mapa final'!#REF!="Mayor"),CONCATENATE("R1C",'Mapa final'!#REF!),"")</f>
        <v>#REF!</v>
      </c>
      <c r="S14" s="89" t="str">
        <f>IF(AND('Mapa final'!$AE$10="Media",'Mapa final'!$AG$10="Mayor"),CONCATENATE("R1C",'Mapa final'!$T$10),"")</f>
        <v/>
      </c>
      <c r="T14" s="95" t="str">
        <f>IF(AND('Mapa final'!$AE$9="Media",'Mapa final'!$AG$9="Catastrófico"),CONCATENATE("R1C",'Mapa final'!$T$9),"")</f>
        <v/>
      </c>
      <c r="U14" s="96" t="e">
        <f>IF(AND('Mapa final'!#REF!="Media",'Mapa final'!#REF!="Catastrófico"),CONCATENATE("R1C",'Mapa final'!#REF!),"")</f>
        <v>#REF!</v>
      </c>
      <c r="V14" s="97" t="str">
        <f>IF(AND('Mapa final'!$AE$10="Media",'Mapa final'!$AG$10="Catastrófico"),CONCATENATE("R1C",'Mapa final'!$T$10),"")</f>
        <v/>
      </c>
      <c r="W14" s="36"/>
      <c r="X14" s="650" t="s">
        <v>76</v>
      </c>
      <c r="Y14" s="651"/>
      <c r="Z14" s="651"/>
      <c r="AA14" s="651"/>
      <c r="AB14" s="651"/>
      <c r="AC14" s="652"/>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row>
    <row r="15" spans="1:74" ht="15" customHeight="1" x14ac:dyDescent="0.25">
      <c r="A15" s="36"/>
      <c r="B15" s="580"/>
      <c r="C15" s="580"/>
      <c r="D15" s="580"/>
      <c r="E15" s="628"/>
      <c r="F15" s="629"/>
      <c r="G15" s="629"/>
      <c r="H15" s="106" t="e">
        <f>IF(AND('Mapa final'!#REF!="Media",'Mapa final'!#REF!="Leve"),CONCATENATE("R2C",'Mapa final'!#REF!),"")</f>
        <v>#REF!</v>
      </c>
      <c r="I15" s="34" t="e">
        <f>IF(AND('Mapa final'!#REF!="Media",'Mapa final'!#REF!="Leve"),CONCATENATE("R2C",'Mapa final'!#REF!),"")</f>
        <v>#REF!</v>
      </c>
      <c r="J15" s="107" t="e">
        <f>IF(AND('Mapa final'!#REF!="Media",'Mapa final'!#REF!="Leve"),CONCATENATE("R2C",'Mapa final'!#REF!),"")</f>
        <v>#REF!</v>
      </c>
      <c r="K15" s="106" t="e">
        <f>IF(AND('Mapa final'!#REF!="Media",'Mapa final'!#REF!="Menor"),CONCATENATE("R2C",'Mapa final'!#REF!),"")</f>
        <v>#REF!</v>
      </c>
      <c r="L15" s="34" t="e">
        <f>IF(AND('Mapa final'!#REF!="Media",'Mapa final'!#REF!="Menor"),CONCATENATE("R2C",'Mapa final'!#REF!),"")</f>
        <v>#REF!</v>
      </c>
      <c r="M15" s="107" t="e">
        <f>IF(AND('Mapa final'!#REF!="Media",'Mapa final'!#REF!="Menor"),CONCATENATE("R2C",'Mapa final'!#REF!),"")</f>
        <v>#REF!</v>
      </c>
      <c r="N15" s="106" t="e">
        <f>IF(AND('Mapa final'!#REF!="Media",'Mapa final'!#REF!="Moderado"),CONCATENATE("R2C",'Mapa final'!#REF!),"")</f>
        <v>#REF!</v>
      </c>
      <c r="O15" s="34" t="e">
        <f>IF(AND('Mapa final'!#REF!="Media",'Mapa final'!#REF!="Moderado"),CONCATENATE("R2C",'Mapa final'!#REF!),"")</f>
        <v>#REF!</v>
      </c>
      <c r="P15" s="107" t="e">
        <f>IF(AND('Mapa final'!#REF!="Media",'Mapa final'!#REF!="Moderado"),CONCATENATE("R2C",'Mapa final'!#REF!),"")</f>
        <v>#REF!</v>
      </c>
      <c r="Q15" s="90" t="e">
        <f>IF(AND('Mapa final'!#REF!="Media",'Mapa final'!#REF!="Mayor"),CONCATENATE("R2C",'Mapa final'!#REF!),"")</f>
        <v>#REF!</v>
      </c>
      <c r="R15" s="32" t="e">
        <f>IF(AND('Mapa final'!#REF!="Media",'Mapa final'!#REF!="Mayor"),CONCATENATE("R2C",'Mapa final'!#REF!),"")</f>
        <v>#REF!</v>
      </c>
      <c r="S15" s="91" t="e">
        <f>IF(AND('Mapa final'!#REF!="Media",'Mapa final'!#REF!="Mayor"),CONCATENATE("R2C",'Mapa final'!#REF!),"")</f>
        <v>#REF!</v>
      </c>
      <c r="T15" s="98" t="e">
        <f>IF(AND('Mapa final'!#REF!="Media",'Mapa final'!#REF!="Catastrófico"),CONCATENATE("R2C",'Mapa final'!#REF!),"")</f>
        <v>#REF!</v>
      </c>
      <c r="U15" s="33" t="e">
        <f>IF(AND('Mapa final'!#REF!="Media",'Mapa final'!#REF!="Catastrófico"),CONCATENATE("R2C",'Mapa final'!#REF!),"")</f>
        <v>#REF!</v>
      </c>
      <c r="V15" s="99" t="e">
        <f>IF(AND('Mapa final'!#REF!="Media",'Mapa final'!#REF!="Catastrófico"),CONCATENATE("R2C",'Mapa final'!#REF!),"")</f>
        <v>#REF!</v>
      </c>
      <c r="W15" s="36"/>
      <c r="X15" s="653"/>
      <c r="Y15" s="654"/>
      <c r="Z15" s="654"/>
      <c r="AA15" s="654"/>
      <c r="AB15" s="654"/>
      <c r="AC15" s="655"/>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row>
    <row r="16" spans="1:74" ht="15" customHeight="1" x14ac:dyDescent="0.25">
      <c r="A16" s="36"/>
      <c r="B16" s="580"/>
      <c r="C16" s="580"/>
      <c r="D16" s="580"/>
      <c r="E16" s="629"/>
      <c r="F16" s="629"/>
      <c r="G16" s="629"/>
      <c r="H16" s="106" t="e">
        <f>IF(AND('Mapa final'!#REF!="Media",'Mapa final'!#REF!="Leve"),CONCATENATE("R3C",'Mapa final'!#REF!),"")</f>
        <v>#REF!</v>
      </c>
      <c r="I16" s="34" t="e">
        <f>IF(AND('Mapa final'!#REF!="Media",'Mapa final'!#REF!="Leve"),CONCATENATE("R3C",'Mapa final'!#REF!),"")</f>
        <v>#REF!</v>
      </c>
      <c r="J16" s="107" t="e">
        <f>IF(AND('Mapa final'!#REF!="Media",'Mapa final'!#REF!="Leve"),CONCATENATE("R3C",'Mapa final'!#REF!),"")</f>
        <v>#REF!</v>
      </c>
      <c r="K16" s="106" t="e">
        <f>IF(AND('Mapa final'!#REF!="Media",'Mapa final'!#REF!="Menor"),CONCATENATE("R3C",'Mapa final'!#REF!),"")</f>
        <v>#REF!</v>
      </c>
      <c r="L16" s="34" t="e">
        <f>IF(AND('Mapa final'!#REF!="Media",'Mapa final'!#REF!="Menor"),CONCATENATE("R3C",'Mapa final'!#REF!),"")</f>
        <v>#REF!</v>
      </c>
      <c r="M16" s="107" t="e">
        <f>IF(AND('Mapa final'!#REF!="Media",'Mapa final'!#REF!="Menor"),CONCATENATE("R3C",'Mapa final'!#REF!),"")</f>
        <v>#REF!</v>
      </c>
      <c r="N16" s="106" t="e">
        <f>IF(AND('Mapa final'!#REF!="Media",'Mapa final'!#REF!="Moderado"),CONCATENATE("R3C",'Mapa final'!#REF!),"")</f>
        <v>#REF!</v>
      </c>
      <c r="O16" s="34" t="e">
        <f>IF(AND('Mapa final'!#REF!="Media",'Mapa final'!#REF!="Moderado"),CONCATENATE("R3C",'Mapa final'!#REF!),"")</f>
        <v>#REF!</v>
      </c>
      <c r="P16" s="107" t="e">
        <f>IF(AND('Mapa final'!#REF!="Media",'Mapa final'!#REF!="Moderado"),CONCATENATE("R3C",'Mapa final'!#REF!),"")</f>
        <v>#REF!</v>
      </c>
      <c r="Q16" s="90" t="e">
        <f>IF(AND('Mapa final'!#REF!="Media",'Mapa final'!#REF!="Mayor"),CONCATENATE("R3C",'Mapa final'!#REF!),"")</f>
        <v>#REF!</v>
      </c>
      <c r="R16" s="32" t="e">
        <f>IF(AND('Mapa final'!#REF!="Media",'Mapa final'!#REF!="Mayor"),CONCATENATE("R3C",'Mapa final'!#REF!),"")</f>
        <v>#REF!</v>
      </c>
      <c r="S16" s="91" t="e">
        <f>IF(AND('Mapa final'!#REF!="Media",'Mapa final'!#REF!="Mayor"),CONCATENATE("R3C",'Mapa final'!#REF!),"")</f>
        <v>#REF!</v>
      </c>
      <c r="T16" s="98" t="e">
        <f>IF(AND('Mapa final'!#REF!="Media",'Mapa final'!#REF!="Catastrófico"),CONCATENATE("R3C",'Mapa final'!#REF!),"")</f>
        <v>#REF!</v>
      </c>
      <c r="U16" s="33" t="e">
        <f>IF(AND('Mapa final'!#REF!="Media",'Mapa final'!#REF!="Catastrófico"),CONCATENATE("R3C",'Mapa final'!#REF!),"")</f>
        <v>#REF!</v>
      </c>
      <c r="V16" s="99" t="e">
        <f>IF(AND('Mapa final'!#REF!="Media",'Mapa final'!#REF!="Catastrófico"),CONCATENATE("R3C",'Mapa final'!#REF!),"")</f>
        <v>#REF!</v>
      </c>
      <c r="W16" s="36"/>
      <c r="X16" s="653"/>
      <c r="Y16" s="654"/>
      <c r="Z16" s="654"/>
      <c r="AA16" s="654"/>
      <c r="AB16" s="654"/>
      <c r="AC16" s="655"/>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row>
    <row r="17" spans="1:63" ht="15" customHeight="1" thickBot="1" x14ac:dyDescent="0.3">
      <c r="A17" s="36"/>
      <c r="B17" s="580"/>
      <c r="C17" s="580"/>
      <c r="D17" s="580"/>
      <c r="E17" s="629"/>
      <c r="F17" s="629"/>
      <c r="G17" s="629"/>
      <c r="H17" s="108" t="e">
        <f>IF(AND('Mapa final'!#REF!="Media",'Mapa final'!#REF!="Leve"),CONCATENATE("R4C",'Mapa final'!#REF!),"")</f>
        <v>#REF!</v>
      </c>
      <c r="I17" s="109" t="e">
        <f>IF(AND('Mapa final'!#REF!="Media",'Mapa final'!#REF!="Leve"),CONCATENATE("R4C",'Mapa final'!#REF!),"")</f>
        <v>#REF!</v>
      </c>
      <c r="J17" s="110" t="e">
        <f>IF(AND('Mapa final'!#REF!="Media",'Mapa final'!#REF!="Leve"),CONCATENATE("R4C",'Mapa final'!#REF!),"")</f>
        <v>#REF!</v>
      </c>
      <c r="K17" s="108" t="e">
        <f>IF(AND('Mapa final'!#REF!="Media",'Mapa final'!#REF!="Menor"),CONCATENATE("R4C",'Mapa final'!#REF!),"")</f>
        <v>#REF!</v>
      </c>
      <c r="L17" s="109" t="e">
        <f>IF(AND('Mapa final'!#REF!="Media",'Mapa final'!#REF!="Menor"),CONCATENATE("R4C",'Mapa final'!#REF!),"")</f>
        <v>#REF!</v>
      </c>
      <c r="M17" s="110" t="e">
        <f>IF(AND('Mapa final'!#REF!="Media",'Mapa final'!#REF!="Menor"),CONCATENATE("R4C",'Mapa final'!#REF!),"")</f>
        <v>#REF!</v>
      </c>
      <c r="N17" s="108" t="e">
        <f>IF(AND('Mapa final'!#REF!="Media",'Mapa final'!#REF!="Moderado"),CONCATENATE("R4C",'Mapa final'!#REF!),"")</f>
        <v>#REF!</v>
      </c>
      <c r="O17" s="109" t="e">
        <f>IF(AND('Mapa final'!#REF!="Media",'Mapa final'!#REF!="Moderado"),CONCATENATE("R4C",'Mapa final'!#REF!),"")</f>
        <v>#REF!</v>
      </c>
      <c r="P17" s="110" t="e">
        <f>IF(AND('Mapa final'!#REF!="Media",'Mapa final'!#REF!="Moderado"),CONCATENATE("R4C",'Mapa final'!#REF!),"")</f>
        <v>#REF!</v>
      </c>
      <c r="Q17" s="92" t="e">
        <f>IF(AND('Mapa final'!#REF!="Media",'Mapa final'!#REF!="Mayor"),CONCATENATE("R4C",'Mapa final'!#REF!),"")</f>
        <v>#REF!</v>
      </c>
      <c r="R17" s="93" t="e">
        <f>IF(AND('Mapa final'!#REF!="Media",'Mapa final'!#REF!="Mayor"),CONCATENATE("R4C",'Mapa final'!#REF!),"")</f>
        <v>#REF!</v>
      </c>
      <c r="S17" s="94" t="e">
        <f>IF(AND('Mapa final'!#REF!="Media",'Mapa final'!#REF!="Mayor"),CONCATENATE("RC",'Mapa final'!#REF!),"")</f>
        <v>#REF!</v>
      </c>
      <c r="T17" s="100" t="e">
        <f>IF(AND('Mapa final'!#REF!="Media",'Mapa final'!#REF!="Catastrófico"),CONCATENATE("R4C",'Mapa final'!#REF!),"")</f>
        <v>#REF!</v>
      </c>
      <c r="U17" s="101" t="e">
        <f>IF(AND('Mapa final'!#REF!="Media",'Mapa final'!#REF!="Catastrófico"),CONCATENATE("R4C",'Mapa final'!#REF!),"")</f>
        <v>#REF!</v>
      </c>
      <c r="V17" s="102" t="e">
        <f>IF(AND('Mapa final'!#REF!="Media",'Mapa final'!#REF!="Catastrófico"),CONCATENATE("R4C",'Mapa final'!#REF!),"")</f>
        <v>#REF!</v>
      </c>
      <c r="W17" s="36"/>
      <c r="X17" s="653"/>
      <c r="Y17" s="654"/>
      <c r="Z17" s="654"/>
      <c r="AA17" s="654"/>
      <c r="AB17" s="654"/>
      <c r="AC17" s="655"/>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row>
    <row r="18" spans="1:63" ht="15" customHeight="1" x14ac:dyDescent="0.25">
      <c r="A18" s="36"/>
      <c r="B18" s="580"/>
      <c r="C18" s="580"/>
      <c r="D18" s="580"/>
      <c r="E18" s="628" t="s">
        <v>109</v>
      </c>
      <c r="F18" s="629"/>
      <c r="G18" s="629"/>
      <c r="H18" s="111" t="str">
        <f>IF(AND('Mapa final'!$AE$9="Baja",'Mapa final'!$AG$9="Leve"),CONCATENATE("R1C",'Mapa final'!$T$9),"")</f>
        <v/>
      </c>
      <c r="I18" s="112" t="e">
        <f>IF(AND('Mapa final'!#REF!="Baja",'Mapa final'!#REF!="Leve"),CONCATENATE("R1C",'Mapa final'!#REF!),"")</f>
        <v>#REF!</v>
      </c>
      <c r="J18" s="113" t="str">
        <f>IF(AND('Mapa final'!$AE$10="Baja",'Mapa final'!$AG$10="Leve"),CONCATENATE("R1C",'Mapa final'!$T$10),"")</f>
        <v/>
      </c>
      <c r="K18" s="103" t="str">
        <f>IF(AND('Mapa final'!$AE$9="Baja",'Mapa final'!$AG$9="Menor"),CONCATENATE("R1C",'Mapa final'!$T$9),"")</f>
        <v/>
      </c>
      <c r="L18" s="104" t="e">
        <f>IF(AND('Mapa final'!#REF!="Baja",'Mapa final'!#REF!="Menor"),CONCATENATE("R1C",'Mapa final'!#REF!),"")</f>
        <v>#REF!</v>
      </c>
      <c r="M18" s="105" t="str">
        <f>IF(AND('Mapa final'!$AE$10="Baja",'Mapa final'!$AG$10="Menor"),CONCATENATE("R1C",'Mapa final'!$T$10),"")</f>
        <v/>
      </c>
      <c r="N18" s="103" t="str">
        <f>IF(AND('Mapa final'!$AE$9="Baja",'Mapa final'!$AG$9="Moderado"),CONCATENATE("R1C",'Mapa final'!$T$9),"")</f>
        <v/>
      </c>
      <c r="O18" s="104" t="e">
        <f>IF(AND('Mapa final'!#REF!="Baja",'Mapa final'!#REF!="Moderado"),CONCATENATE("R1C",'Mapa final'!#REF!),"")</f>
        <v>#REF!</v>
      </c>
      <c r="P18" s="105" t="str">
        <f>IF(AND('Mapa final'!$AE$10="Baja",'Mapa final'!$AG$10="Moderado"),CONCATENATE("R1C",'Mapa final'!$T$10),"")</f>
        <v/>
      </c>
      <c r="Q18" s="87" t="str">
        <f>IF(AND('Mapa final'!$AE$9="Baja",'Mapa final'!$AG$9="Mayor"),CONCATENATE("R1C",'Mapa final'!$T$9),"")</f>
        <v/>
      </c>
      <c r="R18" s="88" t="e">
        <f>IF(AND('Mapa final'!#REF!="Baja",'Mapa final'!#REF!="Mayor"),CONCATENATE("R1C",'Mapa final'!#REF!),"")</f>
        <v>#REF!</v>
      </c>
      <c r="S18" s="89" t="str">
        <f>IF(AND('Mapa final'!$AE$10="Baja",'Mapa final'!$AG$10="Mayor"),CONCATENATE("R1C",'Mapa final'!$T$10),"")</f>
        <v/>
      </c>
      <c r="T18" s="95" t="str">
        <f>IF(AND('Mapa final'!$AE$9="Baja",'Mapa final'!$AG$9="Catastrófico"),CONCATENATE("R1C",'Mapa final'!$T$9),"")</f>
        <v/>
      </c>
      <c r="U18" s="96" t="e">
        <f>IF(AND('Mapa final'!#REF!="Baja",'Mapa final'!#REF!="Catastrófico"),CONCATENATE("R1C",'Mapa final'!#REF!),"")</f>
        <v>#REF!</v>
      </c>
      <c r="V18" s="97" t="str">
        <f>IF(AND('Mapa final'!$AE$10="Baja",'Mapa final'!$AG$10="Catastrófico"),CONCATENATE("R1C",'Mapa final'!$T$10),"")</f>
        <v/>
      </c>
      <c r="W18" s="36"/>
      <c r="X18" s="644" t="s">
        <v>77</v>
      </c>
      <c r="Y18" s="645"/>
      <c r="Z18" s="645"/>
      <c r="AA18" s="645"/>
      <c r="AB18" s="645"/>
      <c r="AC18" s="64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row>
    <row r="19" spans="1:63" ht="15" customHeight="1" x14ac:dyDescent="0.25">
      <c r="A19" s="36"/>
      <c r="B19" s="580"/>
      <c r="C19" s="580"/>
      <c r="D19" s="580"/>
      <c r="E19" s="628"/>
      <c r="F19" s="629"/>
      <c r="G19" s="629"/>
      <c r="H19" s="114" t="e">
        <f>IF(AND('Mapa final'!#REF!="Baja",'Mapa final'!#REF!="Leve"),CONCATENATE("R2C",'Mapa final'!#REF!),"")</f>
        <v>#REF!</v>
      </c>
      <c r="I19" s="35" t="e">
        <f>IF(AND('Mapa final'!#REF!="Baja",'Mapa final'!#REF!="Leve"),CONCATENATE("R2C",'Mapa final'!#REF!),"")</f>
        <v>#REF!</v>
      </c>
      <c r="J19" s="115" t="e">
        <f>IF(AND('Mapa final'!#REF!="Baja",'Mapa final'!#REF!="Leve"),CONCATENATE("R2C",'Mapa final'!#REF!),"")</f>
        <v>#REF!</v>
      </c>
      <c r="K19" s="106" t="e">
        <f>IF(AND('Mapa final'!#REF!="Baja",'Mapa final'!#REF!="Menor"),CONCATENATE("R2C",'Mapa final'!#REF!),"")</f>
        <v>#REF!</v>
      </c>
      <c r="L19" s="34" t="e">
        <f>IF(AND('Mapa final'!#REF!="Baja",'Mapa final'!#REF!="Menor"),CONCATENATE("R2C",'Mapa final'!#REF!),"")</f>
        <v>#REF!</v>
      </c>
      <c r="M19" s="107" t="e">
        <f>IF(AND('Mapa final'!#REF!="Baja",'Mapa final'!#REF!="Menor"),CONCATENATE("R2C",'Mapa final'!#REF!),"")</f>
        <v>#REF!</v>
      </c>
      <c r="N19" s="106" t="e">
        <f>IF(AND('Mapa final'!#REF!="Baja",'Mapa final'!#REF!="Moderado"),CONCATENATE("R2C",'Mapa final'!#REF!),"")</f>
        <v>#REF!</v>
      </c>
      <c r="O19" s="34" t="e">
        <f>IF(AND('Mapa final'!#REF!="Baja",'Mapa final'!#REF!="Moderado"),CONCATENATE("R2C",'Mapa final'!#REF!),"")</f>
        <v>#REF!</v>
      </c>
      <c r="P19" s="107" t="e">
        <f>IF(AND('Mapa final'!#REF!="Baja",'Mapa final'!#REF!="Moderado"),CONCATENATE("R2C",'Mapa final'!#REF!),"")</f>
        <v>#REF!</v>
      </c>
      <c r="Q19" s="90" t="e">
        <f>IF(AND('Mapa final'!#REF!="Baja",'Mapa final'!#REF!="Mayor"),CONCATENATE("R2C",'Mapa final'!#REF!),"")</f>
        <v>#REF!</v>
      </c>
      <c r="R19" s="32" t="e">
        <f>IF(AND('Mapa final'!#REF!="Baja",'Mapa final'!#REF!="Mayor"),CONCATENATE("R2C",'Mapa final'!#REF!),"")</f>
        <v>#REF!</v>
      </c>
      <c r="S19" s="91" t="e">
        <f>IF(AND('Mapa final'!#REF!="Baja",'Mapa final'!#REF!="Mayor"),CONCATENATE("R2C",'Mapa final'!#REF!),"")</f>
        <v>#REF!</v>
      </c>
      <c r="T19" s="98" t="e">
        <f>IF(AND('Mapa final'!#REF!="Baja",'Mapa final'!#REF!="Catastrófico"),CONCATENATE("R2C",'Mapa final'!#REF!),"")</f>
        <v>#REF!</v>
      </c>
      <c r="U19" s="33" t="e">
        <f>IF(AND('Mapa final'!#REF!="Baja",'Mapa final'!#REF!="Catastrófico"),CONCATENATE("R2C",'Mapa final'!#REF!),"")</f>
        <v>#REF!</v>
      </c>
      <c r="V19" s="99" t="e">
        <f>IF(AND('Mapa final'!#REF!="Baja",'Mapa final'!#REF!="Catastrófico"),CONCATENATE("R2C",'Mapa final'!#REF!),"")</f>
        <v>#REF!</v>
      </c>
      <c r="W19" s="36"/>
      <c r="X19" s="647"/>
      <c r="Y19" s="648"/>
      <c r="Z19" s="648"/>
      <c r="AA19" s="648"/>
      <c r="AB19" s="648"/>
      <c r="AC19" s="649"/>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row>
    <row r="20" spans="1:63" ht="15" customHeight="1" x14ac:dyDescent="0.25">
      <c r="A20" s="36"/>
      <c r="B20" s="580"/>
      <c r="C20" s="580"/>
      <c r="D20" s="580"/>
      <c r="E20" s="629"/>
      <c r="F20" s="629"/>
      <c r="G20" s="629"/>
      <c r="H20" s="114" t="e">
        <f>IF(AND('Mapa final'!#REF!="Baja",'Mapa final'!#REF!="Leve"),CONCATENATE("R3C",'Mapa final'!#REF!),"")</f>
        <v>#REF!</v>
      </c>
      <c r="I20" s="35" t="e">
        <f>IF(AND('Mapa final'!#REF!="Baja",'Mapa final'!#REF!="Leve"),CONCATENATE("R3C",'Mapa final'!#REF!),"")</f>
        <v>#REF!</v>
      </c>
      <c r="J20" s="115" t="e">
        <f>IF(AND('Mapa final'!#REF!="Baja",'Mapa final'!#REF!="Leve"),CONCATENATE("R3C",'Mapa final'!#REF!),"")</f>
        <v>#REF!</v>
      </c>
      <c r="K20" s="106" t="e">
        <f>IF(AND('Mapa final'!#REF!="Baja",'Mapa final'!#REF!="Menor"),CONCATENATE("R3C",'Mapa final'!#REF!),"")</f>
        <v>#REF!</v>
      </c>
      <c r="L20" s="34" t="e">
        <f>IF(AND('Mapa final'!#REF!="Baja",'Mapa final'!#REF!="Menor"),CONCATENATE("R3C",'Mapa final'!#REF!),"")</f>
        <v>#REF!</v>
      </c>
      <c r="M20" s="107" t="e">
        <f>IF(AND('Mapa final'!#REF!="Baja",'Mapa final'!#REF!="Menor"),CONCATENATE("R3C",'Mapa final'!#REF!),"")</f>
        <v>#REF!</v>
      </c>
      <c r="N20" s="106" t="e">
        <f>IF(AND('Mapa final'!#REF!="Baja",'Mapa final'!#REF!="Moderado"),CONCATENATE("R3C",'Mapa final'!#REF!),"")</f>
        <v>#REF!</v>
      </c>
      <c r="O20" s="34" t="e">
        <f>IF(AND('Mapa final'!#REF!="Baja",'Mapa final'!#REF!="Moderado"),CONCATENATE("R3C",'Mapa final'!#REF!),"")</f>
        <v>#REF!</v>
      </c>
      <c r="P20" s="107" t="e">
        <f>IF(AND('Mapa final'!#REF!="Baja",'Mapa final'!#REF!="Moderado"),CONCATENATE("R3C",'Mapa final'!#REF!),"")</f>
        <v>#REF!</v>
      </c>
      <c r="Q20" s="90" t="e">
        <f>IF(AND('Mapa final'!#REF!="Baja",'Mapa final'!#REF!="Mayor"),CONCATENATE("R3C",'Mapa final'!#REF!),"")</f>
        <v>#REF!</v>
      </c>
      <c r="R20" s="32" t="e">
        <f>IF(AND('Mapa final'!#REF!="Baja",'Mapa final'!#REF!="Mayor"),CONCATENATE("R3C",'Mapa final'!#REF!),"")</f>
        <v>#REF!</v>
      </c>
      <c r="S20" s="91" t="e">
        <f>IF(AND('Mapa final'!#REF!="Baja",'Mapa final'!#REF!="Mayor"),CONCATENATE("R3C",'Mapa final'!#REF!),"")</f>
        <v>#REF!</v>
      </c>
      <c r="T20" s="98" t="e">
        <f>IF(AND('Mapa final'!#REF!="Baja",'Mapa final'!#REF!="Catastrófico"),CONCATENATE("R3C",'Mapa final'!#REF!),"")</f>
        <v>#REF!</v>
      </c>
      <c r="U20" s="33" t="e">
        <f>IF(AND('Mapa final'!#REF!="Baja",'Mapa final'!#REF!="Catastrófico"),CONCATENATE("R3C",'Mapa final'!#REF!),"")</f>
        <v>#REF!</v>
      </c>
      <c r="V20" s="99" t="e">
        <f>IF(AND('Mapa final'!#REF!="Baja",'Mapa final'!#REF!="Catastrófico"),CONCATENATE("R3C",'Mapa final'!#REF!),"")</f>
        <v>#REF!</v>
      </c>
      <c r="W20" s="36"/>
      <c r="X20" s="647"/>
      <c r="Y20" s="648"/>
      <c r="Z20" s="648"/>
      <c r="AA20" s="648"/>
      <c r="AB20" s="648"/>
      <c r="AC20" s="649"/>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row>
    <row r="21" spans="1:63" ht="15" customHeight="1" x14ac:dyDescent="0.25">
      <c r="A21" s="36"/>
      <c r="B21" s="580"/>
      <c r="C21" s="580"/>
      <c r="D21" s="580"/>
      <c r="E21" s="629"/>
      <c r="F21" s="629"/>
      <c r="G21" s="629"/>
      <c r="H21" s="116" t="e">
        <f>IF(AND('Mapa final'!#REF!="Baja",'Mapa final'!#REF!="Leve"),CONCATENATE("R4C",'Mapa final'!#REF!),"")</f>
        <v>#REF!</v>
      </c>
      <c r="I21" s="117" t="e">
        <f>IF(AND('Mapa final'!#REF!="Baja",'Mapa final'!#REF!="Leve"),CONCATENATE("R4C",'Mapa final'!#REF!),"")</f>
        <v>#REF!</v>
      </c>
      <c r="J21" s="118" t="e">
        <f>IF(AND('Mapa final'!#REF!="Baja",'Mapa final'!#REF!="Leve"),CONCATENATE("R4C",'Mapa final'!#REF!),"")</f>
        <v>#REF!</v>
      </c>
      <c r="K21" s="108" t="e">
        <f>IF(AND('Mapa final'!#REF!="Baja",'Mapa final'!#REF!="Menor"),CONCATENATE("R4C",'Mapa final'!#REF!),"")</f>
        <v>#REF!</v>
      </c>
      <c r="L21" s="109" t="e">
        <f>IF(AND('Mapa final'!#REF!="Baja",'Mapa final'!#REF!="Menor"),CONCATENATE("R4C",'Mapa final'!#REF!),"")</f>
        <v>#REF!</v>
      </c>
      <c r="M21" s="110" t="e">
        <f>IF(AND('Mapa final'!#REF!="Baja",'Mapa final'!#REF!="Menor"),CONCATENATE("R4C",'Mapa final'!#REF!),"")</f>
        <v>#REF!</v>
      </c>
      <c r="N21" s="108" t="e">
        <f>IF(AND('Mapa final'!#REF!="Baja",'Mapa final'!#REF!="Moderado"),CONCATENATE("R4C",'Mapa final'!#REF!),"")</f>
        <v>#REF!</v>
      </c>
      <c r="O21" s="109" t="e">
        <f>IF(AND('Mapa final'!#REF!="Baja",'Mapa final'!#REF!="Moderado"),CONCATENATE("R4C",'Mapa final'!#REF!),"")</f>
        <v>#REF!</v>
      </c>
      <c r="P21" s="110" t="e">
        <f>IF(AND('Mapa final'!#REF!="Baja",'Mapa final'!#REF!="Moderado"),CONCATENATE("R4C",'Mapa final'!#REF!),"")</f>
        <v>#REF!</v>
      </c>
      <c r="Q21" s="92" t="e">
        <f>IF(AND('Mapa final'!#REF!="Baja",'Mapa final'!#REF!="Mayor"),CONCATENATE("R4C",'Mapa final'!#REF!),"")</f>
        <v>#REF!</v>
      </c>
      <c r="R21" s="93" t="e">
        <f>IF(AND('Mapa final'!#REF!="Baja",'Mapa final'!#REF!="Mayor"),CONCATENATE("R4C",'Mapa final'!#REF!),"")</f>
        <v>#REF!</v>
      </c>
      <c r="S21" s="94" t="e">
        <f>IF(AND('Mapa final'!#REF!="Baja",'Mapa final'!#REF!="Mayor"),CONCATENATE("RC",'Mapa final'!#REF!),"")</f>
        <v>#REF!</v>
      </c>
      <c r="T21" s="100" t="e">
        <f>IF(AND('Mapa final'!#REF!="Baja",'Mapa final'!#REF!="Catastrófico"),CONCATENATE("R4C",'Mapa final'!#REF!),"")</f>
        <v>#REF!</v>
      </c>
      <c r="U21" s="101" t="e">
        <f>IF(AND('Mapa final'!#REF!="Baja",'Mapa final'!#REF!="Catastrófico"),CONCATENATE("R4C",'Mapa final'!#REF!),"")</f>
        <v>#REF!</v>
      </c>
      <c r="V21" s="102" t="e">
        <f>IF(AND('Mapa final'!#REF!="Baja",'Mapa final'!#REF!="Catastrófico"),CONCATENATE("R4C",'Mapa final'!#REF!),"")</f>
        <v>#REF!</v>
      </c>
      <c r="W21" s="36"/>
      <c r="X21" s="647"/>
      <c r="Y21" s="648"/>
      <c r="Z21" s="648"/>
      <c r="AA21" s="648"/>
      <c r="AB21" s="648"/>
      <c r="AC21" s="649"/>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row>
    <row r="22" spans="1:63" ht="20.25" customHeight="1" x14ac:dyDescent="0.35">
      <c r="A22" s="36"/>
      <c r="B22" s="580"/>
      <c r="C22" s="580"/>
      <c r="D22" s="580"/>
      <c r="E22" s="628" t="s">
        <v>108</v>
      </c>
      <c r="F22" s="629"/>
      <c r="G22" s="629"/>
      <c r="H22" s="111" t="str">
        <f>IF(AND('Mapa final'!$AE$9="Muy Baja",'Mapa final'!$AG$9="Leve"),CONCATENATE("R1C",'Mapa final'!$T$9),"")</f>
        <v/>
      </c>
      <c r="I22" s="112" t="e">
        <f>IF(AND('Mapa final'!#REF!="Muy Baja",'Mapa final'!#REF!="Leve"),CONCATENATE("R1C",'Mapa final'!#REF!),"")</f>
        <v>#REF!</v>
      </c>
      <c r="J22" s="113" t="str">
        <f>IF(AND('Mapa final'!$AE$10="Muy Baja",'Mapa final'!$AG$10="Leve"),CONCATENATE("R1C",'Mapa final'!$T$10),"")</f>
        <v/>
      </c>
      <c r="K22" s="111" t="str">
        <f>IF(AND('Mapa final'!$AE$9="Muy Baja",'Mapa final'!$AG$9="Menor"),CONCATENATE("R1C",'Mapa final'!$T$9),"")</f>
        <v/>
      </c>
      <c r="L22" s="112" t="e">
        <f>IF(AND('Mapa final'!#REF!="Muy Baja",'Mapa final'!#REF!="Menor"),CONCATENATE("R1C",'Mapa final'!#REF!),"")</f>
        <v>#REF!</v>
      </c>
      <c r="M22" s="113" t="str">
        <f>IF(AND('Mapa final'!$AE$10="Muy Baja",'Mapa final'!$AG$10="Menor"),CONCATENATE("R1C",'Mapa final'!$T$10),"")</f>
        <v/>
      </c>
      <c r="N22" s="103" t="str">
        <f>IF(AND('Mapa final'!$AE$9="Muy Baja",'Mapa final'!$AG$9="Moderado"),CONCATENATE("R1C",'Mapa final'!$T$9),"")</f>
        <v>R1C1</v>
      </c>
      <c r="O22" s="119" t="e">
        <f>IF(AND('Mapa final'!#REF!="Muy Baja",'Mapa final'!#REF!="Moderado"),CONCATENATE("R1C",'Mapa final'!#REF!),"")</f>
        <v>#REF!</v>
      </c>
      <c r="P22" s="105" t="str">
        <f>IF(AND('Mapa final'!$AE$10="Muy Baja",'Mapa final'!$AG$10="Moderado"),CONCATENATE("R1C",'Mapa final'!$T$10),"")</f>
        <v>R1C2</v>
      </c>
      <c r="Q22" s="32" t="str">
        <f>IF(AND('Mapa final'!$AE$9="Muy Baja",'Mapa final'!$AG$9="Mayor"),CONCATENATE("R1C",'Mapa final'!$T$9),"")</f>
        <v/>
      </c>
      <c r="R22" s="32" t="e">
        <f>IF(AND('Mapa final'!#REF!="Muy Baja",'Mapa final'!#REF!="Mayor"),CONCATENATE("R1C",'Mapa final'!#REF!),"")</f>
        <v>#REF!</v>
      </c>
      <c r="S22" s="32" t="str">
        <f>IF(AND('Mapa final'!$AE$10="Muy Baja",'Mapa final'!$AG$10="Mayor"),CONCATENATE("R1C",'Mapa final'!$T$10),"")</f>
        <v/>
      </c>
      <c r="T22" s="95" t="str">
        <f>IF(AND('Mapa final'!$AE$9="Muy Baja",'Mapa final'!$AG$9="Catastrófico"),CONCATENATE("R1C",'Mapa final'!$T$9),"")</f>
        <v/>
      </c>
      <c r="U22" s="96" t="e">
        <f>IF(AND('Mapa final'!#REF!="Muy Baja",'Mapa final'!#REF!="Catastrófico"),CONCATENATE("R1C",'Mapa final'!#REF!),"")</f>
        <v>#REF!</v>
      </c>
      <c r="V22" s="97" t="str">
        <f>IF(AND('Mapa final'!$AE$10="Muy Baja",'Mapa final'!$AG$10="Catastrófico"),CONCATENATE("R1C",'Mapa final'!$T$10),"")</f>
        <v/>
      </c>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3" ht="16.5" customHeight="1" x14ac:dyDescent="0.25">
      <c r="A23" s="36"/>
      <c r="B23" s="580"/>
      <c r="C23" s="580"/>
      <c r="D23" s="580"/>
      <c r="E23" s="628"/>
      <c r="F23" s="629"/>
      <c r="G23" s="629"/>
      <c r="H23" s="114" t="e">
        <f>IF(AND('Mapa final'!#REF!="Muy Baja",'Mapa final'!#REF!="Leve"),CONCATENATE("R2C",'Mapa final'!#REF!),"")</f>
        <v>#REF!</v>
      </c>
      <c r="I23" s="35" t="e">
        <f>IF(AND('Mapa final'!#REF!="Muy Baja",'Mapa final'!#REF!="Leve"),CONCATENATE("R2C",'Mapa final'!#REF!),"")</f>
        <v>#REF!</v>
      </c>
      <c r="J23" s="115" t="e">
        <f>IF(AND('Mapa final'!#REF!="Muy Baja",'Mapa final'!#REF!="Leve"),CONCATENATE("R2C",'Mapa final'!#REF!),"")</f>
        <v>#REF!</v>
      </c>
      <c r="K23" s="114" t="e">
        <f>IF(AND('Mapa final'!#REF!="Muy Baja",'Mapa final'!#REF!="Menor"),CONCATENATE("R2C",'Mapa final'!#REF!),"")</f>
        <v>#REF!</v>
      </c>
      <c r="L23" s="35" t="e">
        <f>IF(AND('Mapa final'!#REF!="Muy Baja",'Mapa final'!#REF!="Menor"),CONCATENATE("R2C",'Mapa final'!#REF!),"")</f>
        <v>#REF!</v>
      </c>
      <c r="M23" s="115" t="e">
        <f>IF(AND('Mapa final'!#REF!="Muy Baja",'Mapa final'!#REF!="Menor"),CONCATENATE("R2C",'Mapa final'!#REF!),"")</f>
        <v>#REF!</v>
      </c>
      <c r="N23" s="106" t="e">
        <f>IF(AND('Mapa final'!#REF!="Muy Baja",'Mapa final'!#REF!="Moderado"),CONCATENATE("R2C",'Mapa final'!#REF!),"")</f>
        <v>#REF!</v>
      </c>
      <c r="O23" s="34" t="e">
        <f>IF(AND('Mapa final'!#REF!="Muy Baja",'Mapa final'!#REF!="Moderado"),CONCATENATE("R2C",'Mapa final'!#REF!),"")</f>
        <v>#REF!</v>
      </c>
      <c r="P23" s="107" t="e">
        <f>IF(AND('Mapa final'!#REF!="Muy Baja",'Mapa final'!#REF!="Moderado"),CONCATENATE("R2C",'Mapa final'!#REF!),"")</f>
        <v>#REF!</v>
      </c>
      <c r="Q23" s="32" t="e">
        <f>IF(AND('Mapa final'!#REF!="Muy Baja",'Mapa final'!#REF!="Mayor"),CONCATENATE("R2C",'Mapa final'!#REF!),"")</f>
        <v>#REF!</v>
      </c>
      <c r="R23" s="32" t="e">
        <f>IF(AND('Mapa final'!#REF!="Muy Baja",'Mapa final'!#REF!="Mayor"),CONCATENATE("R2C",'Mapa final'!#REF!),"")</f>
        <v>#REF!</v>
      </c>
      <c r="S23" s="32" t="e">
        <f>IF(AND('Mapa final'!#REF!="Muy Baja",'Mapa final'!#REF!="Mayor"),CONCATENATE("R2C",'Mapa final'!#REF!),"")</f>
        <v>#REF!</v>
      </c>
      <c r="T23" s="98" t="e">
        <f>IF(AND('Mapa final'!#REF!="Muy Baja",'Mapa final'!#REF!="Catastrófico"),CONCATENATE("R2C",'Mapa final'!#REF!),"")</f>
        <v>#REF!</v>
      </c>
      <c r="U23" s="33" t="e">
        <f>IF(AND('Mapa final'!#REF!="Muy Baja",'Mapa final'!#REF!="Catastrófico"),CONCATENATE("R2C",'Mapa final'!#REF!),"")</f>
        <v>#REF!</v>
      </c>
      <c r="V23" s="99" t="e">
        <f>IF(AND('Mapa final'!#REF!="Muy Baja",'Mapa final'!#REF!="Catastrófico"),CONCATENATE("R2C",'Mapa final'!#REF!),"")</f>
        <v>#REF!</v>
      </c>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row>
    <row r="24" spans="1:63" ht="15" customHeight="1" x14ac:dyDescent="0.25">
      <c r="A24" s="36"/>
      <c r="B24" s="580"/>
      <c r="C24" s="580"/>
      <c r="D24" s="580"/>
      <c r="E24" s="628"/>
      <c r="F24" s="629"/>
      <c r="G24" s="629"/>
      <c r="H24" s="114" t="e">
        <f>IF(AND('Mapa final'!#REF!="Muy Baja",'Mapa final'!#REF!="Leve"),CONCATENATE("R3C",'Mapa final'!#REF!),"")</f>
        <v>#REF!</v>
      </c>
      <c r="I24" s="35" t="e">
        <f>IF(AND('Mapa final'!#REF!="Muy Baja",'Mapa final'!#REF!="Leve"),CONCATENATE("R3C",'Mapa final'!#REF!),"")</f>
        <v>#REF!</v>
      </c>
      <c r="J24" s="115" t="e">
        <f>IF(AND('Mapa final'!#REF!="Muy Baja",'Mapa final'!#REF!="Leve"),CONCATENATE("R3C",'Mapa final'!#REF!),"")</f>
        <v>#REF!</v>
      </c>
      <c r="K24" s="114" t="e">
        <f>IF(AND('Mapa final'!#REF!="Muy Baja",'Mapa final'!#REF!="Menor"),CONCATENATE("R3C",'Mapa final'!#REF!),"")</f>
        <v>#REF!</v>
      </c>
      <c r="L24" s="35" t="e">
        <f>IF(AND('Mapa final'!#REF!="Muy Baja",'Mapa final'!#REF!="Menor"),CONCATENATE("R3C",'Mapa final'!#REF!),"")</f>
        <v>#REF!</v>
      </c>
      <c r="M24" s="115" t="e">
        <f>IF(AND('Mapa final'!#REF!="Muy Baja",'Mapa final'!#REF!="Menor"),CONCATENATE("R3C",'Mapa final'!#REF!),"")</f>
        <v>#REF!</v>
      </c>
      <c r="N24" s="106" t="e">
        <f>IF(AND('Mapa final'!#REF!="Muy Baja",'Mapa final'!#REF!="Moderado"),CONCATENATE("R3C",'Mapa final'!#REF!),"")</f>
        <v>#REF!</v>
      </c>
      <c r="O24" s="34" t="e">
        <f>IF(AND('Mapa final'!#REF!="Muy Baja",'Mapa final'!#REF!="Moderado"),CONCATENATE("R3C",'Mapa final'!#REF!),"")</f>
        <v>#REF!</v>
      </c>
      <c r="P24" s="107" t="e">
        <f>IF(AND('Mapa final'!#REF!="Muy Baja",'Mapa final'!#REF!="Moderado"),CONCATENATE("R3C",'Mapa final'!#REF!),"")</f>
        <v>#REF!</v>
      </c>
      <c r="Q24" s="32" t="e">
        <f>IF(AND('Mapa final'!#REF!="Muy Baja",'Mapa final'!#REF!="Mayor"),CONCATENATE("R3C",'Mapa final'!#REF!),"")</f>
        <v>#REF!</v>
      </c>
      <c r="R24" s="32" t="e">
        <f>IF(AND('Mapa final'!#REF!="Muy Baja",'Mapa final'!#REF!="Mayor"),CONCATENATE("R3C",'Mapa final'!#REF!),"")</f>
        <v>#REF!</v>
      </c>
      <c r="S24" s="32" t="e">
        <f>IF(AND('Mapa final'!#REF!="Muy Baja",'Mapa final'!#REF!="Mayor"),CONCATENATE("R3C",'Mapa final'!#REF!),"")</f>
        <v>#REF!</v>
      </c>
      <c r="T24" s="98" t="e">
        <f>IF(AND('Mapa final'!#REF!="Muy Baja",'Mapa final'!#REF!="Catastrófico"),CONCATENATE("R3C",'Mapa final'!#REF!),"")</f>
        <v>#REF!</v>
      </c>
      <c r="U24" s="33" t="e">
        <f>IF(AND('Mapa final'!#REF!="Muy Baja",'Mapa final'!#REF!="Catastrófico"),CONCATENATE("R3C",'Mapa final'!#REF!),"")</f>
        <v>#REF!</v>
      </c>
      <c r="V24" s="99" t="e">
        <f>IF(AND('Mapa final'!#REF!="Muy Baja",'Mapa final'!#REF!="Catastrófico"),CONCATENATE("R3C",'Mapa final'!#REF!),"")</f>
        <v>#REF!</v>
      </c>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row>
    <row r="25" spans="1:63" ht="15" customHeight="1" x14ac:dyDescent="0.25">
      <c r="A25" s="36"/>
      <c r="B25" s="580"/>
      <c r="C25" s="580"/>
      <c r="D25" s="580"/>
      <c r="E25" s="629"/>
      <c r="F25" s="629"/>
      <c r="G25" s="629"/>
      <c r="H25" s="116" t="e">
        <f>IF(AND('Mapa final'!#REF!="Muy Baja",'Mapa final'!#REF!="Leve"),CONCATENATE("R4C",'Mapa final'!#REF!),"")</f>
        <v>#REF!</v>
      </c>
      <c r="I25" s="117" t="e">
        <f>IF(AND('Mapa final'!#REF!="Muy Baja",'Mapa final'!#REF!="Leve"),CONCATENATE("R4C",'Mapa final'!#REF!),"")</f>
        <v>#REF!</v>
      </c>
      <c r="J25" s="118" t="e">
        <f>IF(AND('Mapa final'!#REF!="Muy Baja",'Mapa final'!#REF!="Leve"),CONCATENATE("R4C",'Mapa final'!#REF!),"")</f>
        <v>#REF!</v>
      </c>
      <c r="K25" s="116" t="e">
        <f>IF(AND('Mapa final'!#REF!="Muy Baja",'Mapa final'!#REF!="Menor"),CONCATENATE("R4C",'Mapa final'!#REF!),"")</f>
        <v>#REF!</v>
      </c>
      <c r="L25" s="117" t="e">
        <f>IF(AND('Mapa final'!#REF!="Muy Baja",'Mapa final'!#REF!="Menor"),CONCATENATE("R4C",'Mapa final'!#REF!),"")</f>
        <v>#REF!</v>
      </c>
      <c r="M25" s="118" t="e">
        <f>IF(AND('Mapa final'!#REF!="Muy Baja",'Mapa final'!#REF!="Menor"),CONCATENATE("R4C",'Mapa final'!#REF!),"")</f>
        <v>#REF!</v>
      </c>
      <c r="N25" s="108" t="e">
        <f>IF(AND('Mapa final'!#REF!="Muy Baja",'Mapa final'!#REF!="Moderado"),CONCATENATE("R4C",'Mapa final'!#REF!),"")</f>
        <v>#REF!</v>
      </c>
      <c r="O25" s="109" t="e">
        <f>IF(AND('Mapa final'!#REF!="Muy Baja",'Mapa final'!#REF!="Moderado"),CONCATENATE("R4C",'Mapa final'!#REF!),"")</f>
        <v>#REF!</v>
      </c>
      <c r="P25" s="110" t="e">
        <f>IF(AND('Mapa final'!#REF!="Muy Baja",'Mapa final'!#REF!="Moderado"),CONCATENATE("RC",'Mapa final'!#REF!),"")</f>
        <v>#REF!</v>
      </c>
      <c r="Q25" s="32" t="e">
        <f>IF(AND('Mapa final'!#REF!="Muy Baja",'Mapa final'!#REF!="Mayor"),CONCATENATE("R4C",'Mapa final'!#REF!),"")</f>
        <v>#REF!</v>
      </c>
      <c r="R25" s="32" t="e">
        <f>IF(AND('Mapa final'!#REF!="Muy Baja",'Mapa final'!#REF!="Mayor"),CONCATENATE("R4C",'Mapa final'!#REF!),"")</f>
        <v>#REF!</v>
      </c>
      <c r="S25" s="32" t="e">
        <f>IF(AND('Mapa final'!#REF!="Muy Baja",'Mapa final'!#REF!="Mayor"),CONCATENATE("R4C",'Mapa final'!#REF!),"")</f>
        <v>#REF!</v>
      </c>
      <c r="T25" s="100" t="e">
        <f>IF(AND('Mapa final'!#REF!="Muy Baja",'Mapa final'!#REF!="Catastrófico"),CONCATENATE("R4C",'Mapa final'!#REF!),"")</f>
        <v>#REF!</v>
      </c>
      <c r="U25" s="101" t="e">
        <f>IF(AND('Mapa final'!#REF!="Muy Baja",'Mapa final'!#REF!="Catastrófico"),CONCATENATE("R4C",'Mapa final'!#REF!),"")</f>
        <v>#REF!</v>
      </c>
      <c r="V25" s="102" t="e">
        <f>IF(AND('Mapa final'!#REF!="Muy Baja",'Mapa final'!#REF!="Catastrófico"),CONCATENATE("R4C",'Mapa final'!#REF!),"")</f>
        <v>#REF!</v>
      </c>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row>
    <row r="26" spans="1:63" x14ac:dyDescent="0.25">
      <c r="A26" s="36"/>
      <c r="B26" s="36"/>
      <c r="C26" s="36"/>
      <c r="D26" s="36"/>
      <c r="E26" s="36"/>
      <c r="F26" s="36"/>
      <c r="G26" s="36"/>
      <c r="H26" s="628" t="s">
        <v>107</v>
      </c>
      <c r="I26" s="629"/>
      <c r="J26" s="629"/>
      <c r="K26" s="628" t="s">
        <v>106</v>
      </c>
      <c r="L26" s="629"/>
      <c r="M26" s="629"/>
      <c r="N26" s="628" t="s">
        <v>105</v>
      </c>
      <c r="O26" s="629"/>
      <c r="P26" s="629"/>
      <c r="Q26" s="628" t="s">
        <v>104</v>
      </c>
      <c r="R26" s="628"/>
      <c r="S26" s="629"/>
      <c r="T26" s="628" t="s">
        <v>103</v>
      </c>
      <c r="U26" s="629"/>
      <c r="V26" s="629"/>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row>
    <row r="27" spans="1:63" x14ac:dyDescent="0.25">
      <c r="A27" s="36"/>
      <c r="B27" s="36"/>
      <c r="C27" s="36"/>
      <c r="D27" s="36"/>
      <c r="E27" s="36"/>
      <c r="F27" s="36"/>
      <c r="G27" s="36"/>
      <c r="H27" s="629"/>
      <c r="I27" s="629"/>
      <c r="J27" s="629"/>
      <c r="K27" s="629"/>
      <c r="L27" s="629"/>
      <c r="M27" s="629"/>
      <c r="N27" s="629"/>
      <c r="O27" s="629"/>
      <c r="P27" s="629"/>
      <c r="Q27" s="629"/>
      <c r="R27" s="629"/>
      <c r="S27" s="629"/>
      <c r="T27" s="629"/>
      <c r="U27" s="629"/>
      <c r="V27" s="629"/>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row>
    <row r="28" spans="1:63" x14ac:dyDescent="0.25">
      <c r="A28" s="36"/>
      <c r="B28" s="36"/>
      <c r="C28" s="36"/>
      <c r="D28" s="36"/>
      <c r="E28" s="36"/>
      <c r="F28" s="36"/>
      <c r="G28" s="36"/>
      <c r="H28" s="629"/>
      <c r="I28" s="629"/>
      <c r="J28" s="629"/>
      <c r="K28" s="629"/>
      <c r="L28" s="629"/>
      <c r="M28" s="629"/>
      <c r="N28" s="629"/>
      <c r="O28" s="629"/>
      <c r="P28" s="629"/>
      <c r="Q28" s="629"/>
      <c r="R28" s="629"/>
      <c r="S28" s="629"/>
      <c r="T28" s="629"/>
      <c r="U28" s="629"/>
      <c r="V28" s="629"/>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row>
    <row r="29" spans="1:63" x14ac:dyDescent="0.25">
      <c r="A29" s="36"/>
      <c r="B29" s="36"/>
      <c r="C29" s="36"/>
      <c r="D29" s="36"/>
      <c r="E29" s="36"/>
      <c r="F29" s="36"/>
      <c r="G29" s="36"/>
      <c r="H29" s="629"/>
      <c r="I29" s="629"/>
      <c r="J29" s="629"/>
      <c r="K29" s="629"/>
      <c r="L29" s="629"/>
      <c r="M29" s="629"/>
      <c r="N29" s="629"/>
      <c r="O29" s="629"/>
      <c r="P29" s="629"/>
      <c r="Q29" s="629"/>
      <c r="R29" s="629"/>
      <c r="S29" s="629"/>
      <c r="T29" s="629"/>
      <c r="U29" s="629"/>
      <c r="V29" s="629"/>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row>
    <row r="30" spans="1:63" x14ac:dyDescent="0.25">
      <c r="A30" s="36"/>
      <c r="B30" s="36"/>
      <c r="C30" s="36"/>
      <c r="D30" s="36"/>
      <c r="E30" s="36"/>
      <c r="F30" s="36"/>
      <c r="G30" s="36"/>
      <c r="H30" s="629"/>
      <c r="I30" s="629"/>
      <c r="J30" s="629"/>
      <c r="K30" s="629"/>
      <c r="L30" s="629"/>
      <c r="M30" s="629"/>
      <c r="N30" s="629"/>
      <c r="O30" s="629"/>
      <c r="P30" s="629"/>
      <c r="Q30" s="629"/>
      <c r="R30" s="629"/>
      <c r="S30" s="629"/>
      <c r="T30" s="629"/>
      <c r="U30" s="629"/>
      <c r="V30" s="629"/>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row>
    <row r="31" spans="1:63"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row>
    <row r="32" spans="1:63" ht="15" customHeight="1" x14ac:dyDescent="0.25">
      <c r="A32" s="36"/>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36"/>
      <c r="AE32" s="36"/>
      <c r="AF32" s="36"/>
      <c r="AG32" s="36"/>
      <c r="AH32" s="36"/>
      <c r="AI32" s="36"/>
      <c r="AJ32" s="36"/>
      <c r="AK32" s="36"/>
      <c r="AL32" s="36"/>
      <c r="AM32" s="36"/>
      <c r="AN32" s="36"/>
      <c r="AO32" s="36"/>
      <c r="AP32" s="36"/>
      <c r="AQ32" s="36"/>
    </row>
    <row r="33" spans="1:43" ht="15" customHeight="1" x14ac:dyDescent="0.25">
      <c r="A33" s="36"/>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36"/>
      <c r="AE33" s="36"/>
      <c r="AF33" s="36"/>
      <c r="AG33" s="36"/>
      <c r="AH33" s="36"/>
      <c r="AI33" s="36"/>
      <c r="AJ33" s="36"/>
      <c r="AK33" s="36"/>
      <c r="AL33" s="36"/>
      <c r="AM33" s="36"/>
      <c r="AN33" s="36"/>
      <c r="AO33" s="36"/>
      <c r="AP33" s="36"/>
      <c r="AQ33" s="36"/>
    </row>
    <row r="34" spans="1:43"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row>
    <row r="35" spans="1:43"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row>
    <row r="36" spans="1:43"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row>
    <row r="37" spans="1:43"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row>
    <row r="38" spans="1:43"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row>
    <row r="39" spans="1:43"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row>
    <row r="40" spans="1:43"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row>
    <row r="41" spans="1:43"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row>
    <row r="42" spans="1:43"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row>
    <row r="43" spans="1:43"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row>
    <row r="44" spans="1:43"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row>
    <row r="45" spans="1:43"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row>
    <row r="46" spans="1:43"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row>
    <row r="47" spans="1:43"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row>
    <row r="48" spans="1:43"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row>
    <row r="49" spans="1:43"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row>
    <row r="50" spans="1:43"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row>
    <row r="51" spans="1:43"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row>
    <row r="52" spans="1:43"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row>
    <row r="53" spans="1:43"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row>
    <row r="54" spans="1:43"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row>
    <row r="55" spans="1:43"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row>
    <row r="56" spans="1:43"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row>
    <row r="57" spans="1:43"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row>
    <row r="58" spans="1:43"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row>
    <row r="59" spans="1:43"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row>
    <row r="60" spans="1:43"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row>
    <row r="61" spans="1:43"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row>
    <row r="62" spans="1:43"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row>
    <row r="63" spans="1:43"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row>
    <row r="64" spans="1:43"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row>
    <row r="65" spans="1:43"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row>
    <row r="66" spans="1:43"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row>
    <row r="67" spans="1:43"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row>
    <row r="68" spans="1:43"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row>
    <row r="69" spans="1:43"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row>
    <row r="70" spans="1:43"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row>
    <row r="71" spans="1:43"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row>
    <row r="72" spans="1:43"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row>
    <row r="73" spans="1:43"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row>
    <row r="74" spans="1:43"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row>
    <row r="75" spans="1:43"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row>
    <row r="76" spans="1:43"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row>
    <row r="77" spans="1:43"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row>
    <row r="78" spans="1:43"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row>
    <row r="79" spans="1:43"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row>
    <row r="80" spans="1:43"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row>
    <row r="81" spans="1:43"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row>
    <row r="82" spans="1:43"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row>
    <row r="83" spans="1:43"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row>
    <row r="84" spans="1:43"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row>
    <row r="85" spans="1:43"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row>
    <row r="86" spans="1:43"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row>
    <row r="87" spans="1:43"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row>
    <row r="88" spans="1:43"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row>
    <row r="89" spans="1:43"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row>
    <row r="90" spans="1:43"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row>
    <row r="91" spans="1:43"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row>
    <row r="92" spans="1:43"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row>
    <row r="93" spans="1:43"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row>
    <row r="94" spans="1:43"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row>
    <row r="95" spans="1:43"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row>
    <row r="96" spans="1:43"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row>
    <row r="97" spans="1:43"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row>
    <row r="98" spans="1:43"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row>
    <row r="99" spans="1:43"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row>
    <row r="100" spans="1:43"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row>
    <row r="101" spans="1:43"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row>
    <row r="102" spans="1:43"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row>
    <row r="103" spans="1:43"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row>
    <row r="104" spans="1:43"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row>
    <row r="105" spans="1:43"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row>
    <row r="106" spans="1:43"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row>
    <row r="107" spans="1:43"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row>
    <row r="108" spans="1:43"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row>
    <row r="109" spans="1:43"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row>
    <row r="110" spans="1:43"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row>
    <row r="111" spans="1:43"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row>
    <row r="112" spans="1:43"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row>
    <row r="113" spans="1:43"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row>
    <row r="114" spans="1:43"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row>
    <row r="115" spans="1:43"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row>
    <row r="116" spans="1:43"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row>
    <row r="117" spans="1:43"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row>
    <row r="118" spans="1:43"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row>
    <row r="119" spans="1:43"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row>
    <row r="120" spans="1:43"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row>
    <row r="121" spans="1:43"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row>
    <row r="122" spans="1:43"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row>
    <row r="123" spans="1:43"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row>
    <row r="124" spans="1:43"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row>
    <row r="125" spans="1:43"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row>
    <row r="126" spans="1:43"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row>
    <row r="127" spans="1:43"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row>
    <row r="128" spans="1:43"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row>
    <row r="129" spans="1:43"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row>
    <row r="130" spans="1:43"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row>
    <row r="131" spans="1:43"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row>
    <row r="132" spans="1:43"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row>
    <row r="133" spans="1:43"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row>
    <row r="134" spans="1:43"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row>
    <row r="135" spans="1:43"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row>
    <row r="136" spans="1:43"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row>
    <row r="137" spans="1:43"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row>
    <row r="138" spans="1:43"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row>
    <row r="139" spans="1:43"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row>
    <row r="140" spans="1:43"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row>
    <row r="141" spans="1:43"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row>
    <row r="142" spans="1:43"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row>
    <row r="143" spans="1:43"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row>
    <row r="144" spans="1:43"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row>
    <row r="145" spans="1:43"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row>
    <row r="146" spans="1:43"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row>
    <row r="147" spans="1:43"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row>
    <row r="148" spans="1:43"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row>
    <row r="149" spans="1:43"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row>
    <row r="150" spans="1:43"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row>
    <row r="151" spans="1:43"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row>
    <row r="152" spans="1:43"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row>
    <row r="153" spans="1:43"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row>
    <row r="154" spans="1:43"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row>
    <row r="155" spans="1:43"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row>
    <row r="156" spans="1:43"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row>
    <row r="157" spans="1:43"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row>
    <row r="158" spans="1:43"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row>
    <row r="159" spans="1:43"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row>
    <row r="160" spans="1:43" x14ac:dyDescent="0.25">
      <c r="A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row>
    <row r="161" spans="1:43" x14ac:dyDescent="0.25">
      <c r="A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row>
    <row r="162" spans="1:43" x14ac:dyDescent="0.25">
      <c r="A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row>
    <row r="163" spans="1:43" x14ac:dyDescent="0.25">
      <c r="A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row>
    <row r="164" spans="1:43" x14ac:dyDescent="0.25">
      <c r="A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row>
    <row r="165" spans="1:43" x14ac:dyDescent="0.25">
      <c r="A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row>
    <row r="166" spans="1:43" x14ac:dyDescent="0.25">
      <c r="A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row>
    <row r="167" spans="1:43" x14ac:dyDescent="0.25">
      <c r="A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row>
    <row r="168" spans="1:43" x14ac:dyDescent="0.25">
      <c r="A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row>
    <row r="169" spans="1:43" x14ac:dyDescent="0.25">
      <c r="A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row>
    <row r="170" spans="1:43" x14ac:dyDescent="0.25">
      <c r="A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row>
    <row r="171" spans="1:43" x14ac:dyDescent="0.25">
      <c r="A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row>
    <row r="172" spans="1:43" x14ac:dyDescent="0.25">
      <c r="A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row>
    <row r="173" spans="1:43" x14ac:dyDescent="0.25">
      <c r="A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row>
    <row r="174" spans="1:43" x14ac:dyDescent="0.25">
      <c r="A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row>
    <row r="175" spans="1:43" x14ac:dyDescent="0.25">
      <c r="A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row>
    <row r="176" spans="1:43" x14ac:dyDescent="0.25">
      <c r="A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row>
    <row r="177" spans="1:43" x14ac:dyDescent="0.25">
      <c r="A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row>
    <row r="178" spans="1:43" x14ac:dyDescent="0.25">
      <c r="A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row>
    <row r="179" spans="1:43" x14ac:dyDescent="0.25">
      <c r="A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row>
    <row r="180" spans="1:43" x14ac:dyDescent="0.25">
      <c r="A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row>
    <row r="181" spans="1:43" x14ac:dyDescent="0.25">
      <c r="A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row>
    <row r="182" spans="1:43" x14ac:dyDescent="0.25">
      <c r="A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row>
    <row r="183" spans="1:43" x14ac:dyDescent="0.25">
      <c r="A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row>
    <row r="184" spans="1:43" x14ac:dyDescent="0.25">
      <c r="A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row>
    <row r="185" spans="1:43" x14ac:dyDescent="0.25">
      <c r="A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row>
    <row r="186" spans="1:43" x14ac:dyDescent="0.25">
      <c r="A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row>
    <row r="187" spans="1:43" x14ac:dyDescent="0.25">
      <c r="A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row>
    <row r="188" spans="1:43" x14ac:dyDescent="0.25">
      <c r="A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row>
    <row r="189" spans="1:43" x14ac:dyDescent="0.25">
      <c r="A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row>
    <row r="190" spans="1:43" x14ac:dyDescent="0.25">
      <c r="A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row>
    <row r="191" spans="1:43" x14ac:dyDescent="0.25">
      <c r="A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row>
    <row r="192" spans="1:43" x14ac:dyDescent="0.25">
      <c r="A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row>
    <row r="193" spans="1:43" x14ac:dyDescent="0.25">
      <c r="A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row>
    <row r="194" spans="1:43" x14ac:dyDescent="0.25">
      <c r="A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row>
    <row r="195" spans="1:43" x14ac:dyDescent="0.25">
      <c r="A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row>
    <row r="196" spans="1:43" x14ac:dyDescent="0.25">
      <c r="A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row>
    <row r="197" spans="1:43" x14ac:dyDescent="0.25">
      <c r="A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row>
    <row r="198" spans="1:43" x14ac:dyDescent="0.25">
      <c r="A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row>
    <row r="199" spans="1:43" x14ac:dyDescent="0.25">
      <c r="A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row>
    <row r="200" spans="1:43" x14ac:dyDescent="0.25">
      <c r="A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row>
    <row r="201" spans="1:43" x14ac:dyDescent="0.25">
      <c r="A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row>
    <row r="202" spans="1:43" x14ac:dyDescent="0.25">
      <c r="A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row>
    <row r="203" spans="1:43" x14ac:dyDescent="0.25">
      <c r="A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row>
    <row r="204" spans="1:43" x14ac:dyDescent="0.25">
      <c r="A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row>
    <row r="205" spans="1:43" x14ac:dyDescent="0.25">
      <c r="A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row>
    <row r="206" spans="1:43" x14ac:dyDescent="0.25">
      <c r="A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row>
    <row r="207" spans="1:43" x14ac:dyDescent="0.25">
      <c r="A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row>
    <row r="208" spans="1:43" x14ac:dyDescent="0.25">
      <c r="A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row>
    <row r="209" spans="1:43" x14ac:dyDescent="0.25">
      <c r="A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row>
    <row r="210" spans="1:43" x14ac:dyDescent="0.25">
      <c r="A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row>
    <row r="211" spans="1:43" x14ac:dyDescent="0.25">
      <c r="A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row>
    <row r="212" spans="1:43" x14ac:dyDescent="0.25">
      <c r="A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row>
    <row r="213" spans="1:43" x14ac:dyDescent="0.25">
      <c r="A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row>
    <row r="214" spans="1:43" x14ac:dyDescent="0.25">
      <c r="A214" s="36"/>
    </row>
    <row r="215" spans="1:43" x14ac:dyDescent="0.25">
      <c r="A215" s="36"/>
    </row>
    <row r="216" spans="1:43" x14ac:dyDescent="0.25">
      <c r="A216" s="36"/>
    </row>
    <row r="217" spans="1:43" x14ac:dyDescent="0.25">
      <c r="A217" s="36"/>
    </row>
  </sheetData>
  <mergeCells count="17">
    <mergeCell ref="X10:AC13"/>
    <mergeCell ref="E10:G13"/>
    <mergeCell ref="X6:AC9"/>
    <mergeCell ref="B2:G4"/>
    <mergeCell ref="H2:V4"/>
    <mergeCell ref="B6:D25"/>
    <mergeCell ref="E6:G9"/>
    <mergeCell ref="E22:G25"/>
    <mergeCell ref="X18:AC21"/>
    <mergeCell ref="E18:G21"/>
    <mergeCell ref="X14:AC17"/>
    <mergeCell ref="E14:G17"/>
    <mergeCell ref="H26:J30"/>
    <mergeCell ref="K26:M30"/>
    <mergeCell ref="N26:P30"/>
    <mergeCell ref="Q26:S30"/>
    <mergeCell ref="T26:V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F0"/>
  </sheetPr>
  <dimension ref="A1:AK55"/>
  <sheetViews>
    <sheetView zoomScale="70" zoomScaleNormal="70" workbookViewId="0">
      <selection activeCell="B11" sqref="B11:D2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6"/>
      <c r="B1" s="656" t="s">
        <v>50</v>
      </c>
      <c r="C1" s="656"/>
      <c r="D1" s="65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7"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7" ht="25.5" x14ac:dyDescent="0.25">
      <c r="A3" s="36"/>
      <c r="B3" s="3"/>
      <c r="C3" s="4" t="s">
        <v>47</v>
      </c>
      <c r="D3" s="4" t="s">
        <v>2</v>
      </c>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7" ht="51" x14ac:dyDescent="0.25">
      <c r="A4" s="36"/>
      <c r="B4" s="5" t="s">
        <v>46</v>
      </c>
      <c r="C4" s="6" t="s">
        <v>97</v>
      </c>
      <c r="D4" s="7">
        <v>0.2</v>
      </c>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7" ht="51" x14ac:dyDescent="0.25">
      <c r="A5" s="36"/>
      <c r="B5" s="8" t="s">
        <v>48</v>
      </c>
      <c r="C5" s="9" t="s">
        <v>98</v>
      </c>
      <c r="D5" s="10">
        <v>0.4</v>
      </c>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7" ht="51" x14ac:dyDescent="0.25">
      <c r="A6" s="36"/>
      <c r="B6" s="11" t="s">
        <v>102</v>
      </c>
      <c r="C6" s="9" t="s">
        <v>99</v>
      </c>
      <c r="D6" s="10">
        <v>0.6</v>
      </c>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7" ht="76.5" x14ac:dyDescent="0.25">
      <c r="A7" s="36"/>
      <c r="B7" s="12" t="s">
        <v>4</v>
      </c>
      <c r="C7" s="9" t="s">
        <v>100</v>
      </c>
      <c r="D7" s="10">
        <v>0.8</v>
      </c>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37" ht="51" x14ac:dyDescent="0.25">
      <c r="A8" s="36"/>
      <c r="B8" s="13" t="s">
        <v>49</v>
      </c>
      <c r="C8" s="9" t="s">
        <v>101</v>
      </c>
      <c r="D8" s="10">
        <v>1</v>
      </c>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7" x14ac:dyDescent="0.25">
      <c r="A9" s="36"/>
      <c r="B9" s="60"/>
      <c r="C9" s="60"/>
      <c r="D9" s="60"/>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ht="16.5" x14ac:dyDescent="0.25">
      <c r="A10" s="36"/>
      <c r="B10" s="61"/>
      <c r="C10" s="60"/>
      <c r="D10" s="60"/>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7" x14ac:dyDescent="0.25">
      <c r="A11" s="36"/>
      <c r="B11" s="60"/>
      <c r="C11" s="60"/>
      <c r="D11" s="60"/>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x14ac:dyDescent="0.25">
      <c r="A12" s="36"/>
      <c r="B12" s="60"/>
      <c r="C12" s="60"/>
      <c r="D12" s="60"/>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x14ac:dyDescent="0.25">
      <c r="A13" s="36"/>
      <c r="B13" s="60"/>
      <c r="C13" s="60"/>
      <c r="D13" s="60"/>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x14ac:dyDescent="0.25">
      <c r="A14" s="36"/>
      <c r="B14" s="60"/>
      <c r="C14" s="60"/>
      <c r="D14" s="60"/>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x14ac:dyDescent="0.25">
      <c r="A15" s="36"/>
      <c r="B15" s="60"/>
      <c r="C15" s="60"/>
      <c r="D15" s="60"/>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37" x14ac:dyDescent="0.25">
      <c r="A16" s="36"/>
      <c r="B16" s="60"/>
      <c r="C16" s="60"/>
      <c r="D16" s="60"/>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x14ac:dyDescent="0.25">
      <c r="A17" s="36"/>
      <c r="B17" s="60"/>
      <c r="C17" s="60"/>
      <c r="D17" s="60"/>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x14ac:dyDescent="0.25">
      <c r="A18" s="36"/>
      <c r="B18" s="60"/>
      <c r="C18" s="60"/>
      <c r="D18" s="60"/>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1" x14ac:dyDescent="0.25">
      <c r="A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x14ac:dyDescent="0.25">
      <c r="A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x14ac:dyDescent="0.25">
      <c r="A35" s="36"/>
    </row>
    <row r="36" spans="1:31" x14ac:dyDescent="0.25">
      <c r="A36" s="36"/>
    </row>
    <row r="37" spans="1:31" x14ac:dyDescent="0.25">
      <c r="A37" s="36"/>
    </row>
    <row r="38" spans="1:31" x14ac:dyDescent="0.25">
      <c r="A38" s="36"/>
    </row>
    <row r="39" spans="1:31" x14ac:dyDescent="0.25">
      <c r="A39" s="36"/>
    </row>
    <row r="40" spans="1:31" x14ac:dyDescent="0.25">
      <c r="A40" s="36"/>
    </row>
    <row r="41" spans="1:31" x14ac:dyDescent="0.25">
      <c r="A41" s="36"/>
    </row>
    <row r="42" spans="1:31" x14ac:dyDescent="0.25">
      <c r="A42" s="36"/>
    </row>
    <row r="43" spans="1:31" x14ac:dyDescent="0.25">
      <c r="A43" s="36"/>
    </row>
    <row r="44" spans="1:31" x14ac:dyDescent="0.25">
      <c r="A44" s="36"/>
    </row>
    <row r="45" spans="1:31" x14ac:dyDescent="0.25">
      <c r="A45" s="36"/>
    </row>
    <row r="46" spans="1:31" x14ac:dyDescent="0.25">
      <c r="A46" s="36"/>
    </row>
    <row r="47" spans="1:31" x14ac:dyDescent="0.25">
      <c r="A47" s="36"/>
    </row>
    <row r="48" spans="1:3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tint="-0.249977111117893"/>
  </sheetPr>
  <dimension ref="A1:U232"/>
  <sheetViews>
    <sheetView zoomScale="60" zoomScaleNormal="60" workbookViewId="0">
      <selection activeCell="C4" sqref="C4:C14"/>
    </sheetView>
  </sheetViews>
  <sheetFormatPr baseColWidth="10" defaultRowHeight="15" x14ac:dyDescent="0.25"/>
  <cols>
    <col min="2" max="2" width="40.42578125" customWidth="1"/>
    <col min="3" max="3" width="54.140625" customWidth="1"/>
    <col min="4" max="4" width="110" customWidth="1"/>
    <col min="5" max="5" width="144.7109375" bestFit="1" customWidth="1"/>
  </cols>
  <sheetData>
    <row r="1" spans="1:21" ht="33.75" x14ac:dyDescent="0.25">
      <c r="A1" s="36"/>
      <c r="B1" s="657" t="s">
        <v>58</v>
      </c>
      <c r="C1" s="657"/>
      <c r="D1" s="657"/>
      <c r="E1" s="36"/>
      <c r="F1" s="36"/>
      <c r="G1" s="36"/>
      <c r="H1" s="36"/>
      <c r="I1" s="36"/>
      <c r="J1" s="36"/>
      <c r="K1" s="36"/>
      <c r="L1" s="36"/>
      <c r="M1" s="36"/>
      <c r="N1" s="36"/>
      <c r="O1" s="36"/>
      <c r="P1" s="36"/>
      <c r="Q1" s="36"/>
      <c r="R1" s="36"/>
      <c r="S1" s="36"/>
      <c r="T1" s="36"/>
      <c r="U1" s="36"/>
    </row>
    <row r="2" spans="1:21" x14ac:dyDescent="0.25">
      <c r="A2" s="36"/>
      <c r="B2" s="36"/>
      <c r="C2" s="36"/>
      <c r="D2" s="36"/>
      <c r="E2" s="36"/>
      <c r="F2" s="36"/>
      <c r="G2" s="36"/>
      <c r="H2" s="36"/>
      <c r="I2" s="36"/>
      <c r="J2" s="36"/>
      <c r="K2" s="36"/>
      <c r="L2" s="36"/>
      <c r="M2" s="36"/>
      <c r="N2" s="36"/>
      <c r="O2" s="36"/>
      <c r="P2" s="36"/>
      <c r="Q2" s="36"/>
      <c r="R2" s="36"/>
      <c r="S2" s="36"/>
      <c r="T2" s="36"/>
      <c r="U2" s="36"/>
    </row>
    <row r="3" spans="1:21" ht="60" x14ac:dyDescent="0.25">
      <c r="A3" s="36"/>
      <c r="B3" s="57"/>
      <c r="C3" s="22" t="s">
        <v>51</v>
      </c>
      <c r="D3" s="22" t="s">
        <v>52</v>
      </c>
      <c r="E3" s="36"/>
      <c r="F3" s="36"/>
      <c r="G3" s="36"/>
      <c r="H3" s="36"/>
      <c r="I3" s="36"/>
      <c r="J3" s="36"/>
      <c r="K3" s="36"/>
      <c r="L3" s="36"/>
      <c r="M3" s="36"/>
      <c r="N3" s="36"/>
      <c r="O3" s="36"/>
      <c r="P3" s="36"/>
      <c r="Q3" s="36"/>
      <c r="R3" s="36"/>
      <c r="S3" s="36"/>
      <c r="T3" s="36"/>
      <c r="U3" s="36"/>
    </row>
    <row r="4" spans="1:21" ht="67.5" x14ac:dyDescent="0.25">
      <c r="A4" s="56" t="s">
        <v>78</v>
      </c>
      <c r="B4" s="25" t="s">
        <v>96</v>
      </c>
      <c r="C4" s="30" t="s">
        <v>148</v>
      </c>
      <c r="D4" s="23" t="s">
        <v>92</v>
      </c>
      <c r="E4" s="36"/>
      <c r="F4" s="36"/>
      <c r="G4" s="36"/>
      <c r="H4" s="36"/>
      <c r="I4" s="36"/>
      <c r="J4" s="36"/>
      <c r="K4" s="36"/>
      <c r="L4" s="36"/>
      <c r="M4" s="36"/>
      <c r="N4" s="36"/>
      <c r="O4" s="36"/>
      <c r="P4" s="36"/>
      <c r="Q4" s="36"/>
      <c r="R4" s="36"/>
      <c r="S4" s="36"/>
      <c r="T4" s="36"/>
      <c r="U4" s="36"/>
    </row>
    <row r="5" spans="1:21" ht="101.25" x14ac:dyDescent="0.25">
      <c r="A5" s="56" t="s">
        <v>79</v>
      </c>
      <c r="B5" s="26" t="s">
        <v>54</v>
      </c>
      <c r="C5" s="31" t="s">
        <v>88</v>
      </c>
      <c r="D5" s="24" t="s">
        <v>93</v>
      </c>
      <c r="E5" s="36"/>
      <c r="F5" s="36"/>
      <c r="G5" s="36"/>
      <c r="H5" s="36"/>
      <c r="I5" s="36"/>
      <c r="J5" s="36"/>
      <c r="K5" s="36"/>
      <c r="L5" s="36"/>
      <c r="M5" s="36"/>
      <c r="N5" s="36"/>
      <c r="O5" s="36"/>
      <c r="P5" s="36"/>
      <c r="Q5" s="36"/>
      <c r="R5" s="36"/>
      <c r="S5" s="36"/>
      <c r="T5" s="36"/>
      <c r="U5" s="36"/>
    </row>
    <row r="6" spans="1:21" ht="67.5" x14ac:dyDescent="0.25">
      <c r="A6" s="56" t="s">
        <v>76</v>
      </c>
      <c r="B6" s="27" t="s">
        <v>55</v>
      </c>
      <c r="C6" s="31" t="s">
        <v>89</v>
      </c>
      <c r="D6" s="24" t="s">
        <v>95</v>
      </c>
      <c r="E6" s="36"/>
      <c r="F6" s="36"/>
      <c r="G6" s="36"/>
      <c r="H6" s="36"/>
      <c r="I6" s="36"/>
      <c r="J6" s="36"/>
      <c r="K6" s="36"/>
      <c r="L6" s="36"/>
      <c r="M6" s="36"/>
      <c r="N6" s="36"/>
      <c r="O6" s="36"/>
      <c r="P6" s="36"/>
      <c r="Q6" s="36"/>
      <c r="R6" s="36"/>
      <c r="S6" s="36"/>
      <c r="T6" s="36"/>
      <c r="U6" s="36"/>
    </row>
    <row r="7" spans="1:21" ht="101.25" x14ac:dyDescent="0.25">
      <c r="A7" s="56" t="s">
        <v>5</v>
      </c>
      <c r="B7" s="28" t="s">
        <v>56</v>
      </c>
      <c r="C7" s="31" t="s">
        <v>90</v>
      </c>
      <c r="D7" s="24" t="s">
        <v>94</v>
      </c>
      <c r="E7" s="36"/>
      <c r="F7" s="36"/>
      <c r="G7" s="36"/>
      <c r="H7" s="36"/>
      <c r="I7" s="36"/>
      <c r="J7" s="36"/>
      <c r="K7" s="36"/>
      <c r="L7" s="36"/>
      <c r="M7" s="36"/>
      <c r="N7" s="36"/>
      <c r="O7" s="36"/>
      <c r="P7" s="36"/>
      <c r="Q7" s="36"/>
      <c r="R7" s="36"/>
      <c r="S7" s="36"/>
      <c r="T7" s="36"/>
      <c r="U7" s="36"/>
    </row>
    <row r="8" spans="1:21" ht="67.5" x14ac:dyDescent="0.25">
      <c r="A8" s="56" t="s">
        <v>80</v>
      </c>
      <c r="B8" s="29" t="s">
        <v>57</v>
      </c>
      <c r="C8" s="31" t="s">
        <v>91</v>
      </c>
      <c r="D8" s="24" t="s">
        <v>113</v>
      </c>
      <c r="E8" s="36"/>
      <c r="F8" s="36"/>
      <c r="G8" s="36"/>
      <c r="H8" s="36"/>
      <c r="I8" s="36"/>
      <c r="J8" s="36"/>
      <c r="K8" s="36"/>
      <c r="L8" s="36"/>
      <c r="M8" s="36"/>
      <c r="N8" s="36"/>
      <c r="O8" s="36"/>
      <c r="P8" s="36"/>
      <c r="Q8" s="36"/>
      <c r="R8" s="36"/>
      <c r="S8" s="36"/>
      <c r="T8" s="36"/>
      <c r="U8" s="36"/>
    </row>
    <row r="9" spans="1:21" ht="20.25" x14ac:dyDescent="0.25">
      <c r="A9" s="56"/>
      <c r="B9" s="56"/>
      <c r="C9" s="58"/>
      <c r="D9" s="58"/>
      <c r="E9" s="36"/>
      <c r="F9" s="36"/>
      <c r="G9" s="36"/>
      <c r="H9" s="36"/>
      <c r="I9" s="36"/>
      <c r="J9" s="36"/>
      <c r="K9" s="36"/>
      <c r="L9" s="36"/>
      <c r="M9" s="36"/>
      <c r="N9" s="36"/>
      <c r="O9" s="36"/>
      <c r="P9" s="36"/>
      <c r="Q9" s="36"/>
      <c r="R9" s="36"/>
      <c r="S9" s="36"/>
      <c r="T9" s="36"/>
      <c r="U9" s="36"/>
    </row>
    <row r="10" spans="1:21" ht="101.25" x14ac:dyDescent="0.25">
      <c r="A10" s="56"/>
      <c r="B10" s="59"/>
      <c r="C10" s="23" t="s">
        <v>92</v>
      </c>
      <c r="D10" s="59"/>
      <c r="E10" s="36"/>
      <c r="F10" s="36"/>
      <c r="G10" s="36"/>
      <c r="H10" s="36"/>
      <c r="I10" s="36"/>
      <c r="J10" s="36"/>
      <c r="K10" s="36"/>
      <c r="L10" s="36"/>
      <c r="M10" s="36"/>
      <c r="N10" s="36"/>
      <c r="O10" s="36"/>
      <c r="P10" s="36"/>
      <c r="Q10" s="36"/>
      <c r="R10" s="36"/>
      <c r="S10" s="36"/>
      <c r="T10" s="36"/>
      <c r="U10" s="36"/>
    </row>
    <row r="11" spans="1:21" ht="202.5" x14ac:dyDescent="0.25">
      <c r="A11" s="56"/>
      <c r="B11" s="56" t="s">
        <v>86</v>
      </c>
      <c r="C11" s="24" t="s">
        <v>93</v>
      </c>
      <c r="D11" s="56" t="s">
        <v>143</v>
      </c>
      <c r="E11" s="36"/>
      <c r="F11" s="36"/>
      <c r="G11" s="36"/>
      <c r="H11" s="36"/>
      <c r="I11" s="36"/>
      <c r="J11" s="36"/>
      <c r="K11" s="36"/>
      <c r="L11" s="36"/>
      <c r="M11" s="36"/>
      <c r="N11" s="36"/>
      <c r="O11" s="36"/>
      <c r="P11" s="36"/>
      <c r="Q11" s="36"/>
      <c r="R11" s="36"/>
      <c r="S11" s="36"/>
      <c r="T11" s="36"/>
      <c r="U11" s="36"/>
    </row>
    <row r="12" spans="1:21" ht="168.75" x14ac:dyDescent="0.25">
      <c r="A12" s="56"/>
      <c r="B12" s="56" t="s">
        <v>84</v>
      </c>
      <c r="C12" s="24" t="s">
        <v>95</v>
      </c>
      <c r="D12" s="56" t="s">
        <v>144</v>
      </c>
      <c r="E12" s="36"/>
      <c r="F12" s="36"/>
      <c r="G12" s="36"/>
      <c r="H12" s="36"/>
      <c r="I12" s="36"/>
      <c r="J12" s="36"/>
      <c r="K12" s="36"/>
      <c r="L12" s="36"/>
      <c r="M12" s="36"/>
      <c r="N12" s="36"/>
      <c r="O12" s="36"/>
      <c r="P12" s="36"/>
      <c r="Q12" s="36"/>
      <c r="R12" s="36"/>
      <c r="S12" s="36"/>
      <c r="T12" s="36"/>
      <c r="U12" s="36"/>
    </row>
    <row r="13" spans="1:21" ht="202.5" x14ac:dyDescent="0.25">
      <c r="A13" s="56"/>
      <c r="B13" s="56"/>
      <c r="C13" s="24" t="s">
        <v>94</v>
      </c>
      <c r="D13" s="56" t="s">
        <v>145</v>
      </c>
      <c r="E13" s="36"/>
      <c r="F13" s="36"/>
      <c r="G13" s="36"/>
      <c r="H13" s="36"/>
      <c r="I13" s="36"/>
      <c r="J13" s="36"/>
      <c r="K13" s="36"/>
      <c r="L13" s="36"/>
      <c r="M13" s="36"/>
      <c r="N13" s="36"/>
      <c r="O13" s="36"/>
      <c r="P13" s="36"/>
      <c r="Q13" s="36"/>
      <c r="R13" s="36"/>
      <c r="S13" s="36"/>
      <c r="T13" s="36"/>
      <c r="U13" s="36"/>
    </row>
    <row r="14" spans="1:21" ht="168.75" x14ac:dyDescent="0.25">
      <c r="A14" s="56"/>
      <c r="B14" s="56"/>
      <c r="C14" s="24" t="s">
        <v>113</v>
      </c>
      <c r="D14" s="56" t="s">
        <v>146</v>
      </c>
      <c r="E14" s="36"/>
      <c r="F14" s="36"/>
      <c r="G14" s="36"/>
      <c r="H14" s="36"/>
      <c r="I14" s="36"/>
      <c r="J14" s="36"/>
      <c r="K14" s="36"/>
      <c r="L14" s="36"/>
      <c r="M14" s="36"/>
      <c r="N14" s="36"/>
      <c r="O14" s="36"/>
      <c r="P14" s="36"/>
      <c r="Q14" s="36"/>
      <c r="R14" s="36"/>
      <c r="S14" s="36"/>
      <c r="T14" s="36"/>
      <c r="U14" s="36"/>
    </row>
    <row r="15" spans="1:21" x14ac:dyDescent="0.25">
      <c r="A15" s="56"/>
      <c r="B15" s="56"/>
      <c r="C15" s="56" t="s">
        <v>142</v>
      </c>
      <c r="D15" s="56" t="s">
        <v>147</v>
      </c>
      <c r="E15" s="36"/>
      <c r="F15" s="36"/>
      <c r="G15" s="36"/>
      <c r="H15" s="36"/>
      <c r="I15" s="36"/>
      <c r="J15" s="36"/>
      <c r="K15" s="36"/>
      <c r="L15" s="36"/>
      <c r="M15" s="36"/>
      <c r="N15" s="36"/>
      <c r="O15" s="36"/>
      <c r="P15" s="36"/>
      <c r="Q15" s="36"/>
      <c r="R15" s="36"/>
      <c r="S15" s="36"/>
      <c r="T15" s="36"/>
      <c r="U15" s="36"/>
    </row>
    <row r="16" spans="1:21" x14ac:dyDescent="0.25">
      <c r="A16" s="56"/>
      <c r="B16" s="56"/>
      <c r="C16" s="56"/>
      <c r="D16" s="56"/>
      <c r="E16" s="36"/>
      <c r="F16" s="36"/>
      <c r="G16" s="36"/>
      <c r="H16" s="36"/>
      <c r="I16" s="36"/>
      <c r="J16" s="36"/>
      <c r="K16" s="36"/>
      <c r="L16" s="36"/>
      <c r="M16" s="36"/>
      <c r="N16" s="36"/>
      <c r="O16" s="36"/>
    </row>
    <row r="17" spans="1:15" x14ac:dyDescent="0.25">
      <c r="A17" s="56"/>
      <c r="B17" s="56"/>
      <c r="C17" s="56"/>
      <c r="D17" s="56"/>
      <c r="E17" s="36"/>
      <c r="F17" s="36"/>
      <c r="G17" s="36"/>
      <c r="H17" s="36"/>
      <c r="I17" s="36"/>
      <c r="J17" s="36"/>
      <c r="K17" s="36"/>
      <c r="L17" s="36"/>
      <c r="M17" s="36"/>
      <c r="N17" s="36"/>
      <c r="O17" s="36"/>
    </row>
    <row r="18" spans="1:15" x14ac:dyDescent="0.25">
      <c r="A18" s="56"/>
      <c r="B18" s="60"/>
      <c r="C18" s="60"/>
      <c r="D18" s="60"/>
      <c r="E18" s="36"/>
      <c r="F18" s="36"/>
      <c r="G18" s="36"/>
      <c r="H18" s="36"/>
      <c r="I18" s="36"/>
      <c r="J18" s="36"/>
      <c r="K18" s="36"/>
      <c r="L18" s="36"/>
      <c r="M18" s="36"/>
      <c r="N18" s="36"/>
      <c r="O18" s="36"/>
    </row>
    <row r="19" spans="1:15" x14ac:dyDescent="0.25">
      <c r="A19" s="56"/>
      <c r="B19" s="60"/>
      <c r="C19" s="60"/>
      <c r="D19" s="60"/>
      <c r="E19" s="36"/>
      <c r="F19" s="36"/>
      <c r="G19" s="36"/>
      <c r="H19" s="36"/>
      <c r="I19" s="36"/>
      <c r="J19" s="36"/>
      <c r="K19" s="36"/>
      <c r="L19" s="36"/>
      <c r="M19" s="36"/>
      <c r="N19" s="36"/>
      <c r="O19" s="36"/>
    </row>
    <row r="20" spans="1:15" x14ac:dyDescent="0.25">
      <c r="A20" s="56"/>
      <c r="B20" s="60"/>
      <c r="C20" s="60"/>
      <c r="D20" s="60"/>
      <c r="E20" s="36"/>
      <c r="F20" s="36"/>
      <c r="G20" s="36"/>
      <c r="H20" s="36"/>
      <c r="I20" s="36"/>
      <c r="J20" s="36"/>
      <c r="K20" s="36"/>
      <c r="L20" s="36"/>
      <c r="M20" s="36"/>
      <c r="N20" s="36"/>
      <c r="O20" s="36"/>
    </row>
    <row r="21" spans="1:15" x14ac:dyDescent="0.25">
      <c r="A21" s="56"/>
      <c r="B21" s="60"/>
      <c r="C21" s="60"/>
      <c r="D21" s="60"/>
      <c r="E21" s="36"/>
      <c r="F21" s="36"/>
      <c r="G21" s="36"/>
      <c r="H21" s="36"/>
      <c r="I21" s="36"/>
      <c r="J21" s="36"/>
      <c r="K21" s="36"/>
      <c r="L21" s="36"/>
      <c r="M21" s="36"/>
      <c r="N21" s="36"/>
      <c r="O21" s="36"/>
    </row>
    <row r="22" spans="1:15" ht="20.25" x14ac:dyDescent="0.25">
      <c r="A22" s="56"/>
      <c r="B22" s="56"/>
      <c r="C22" s="58"/>
      <c r="D22" s="58"/>
      <c r="E22" s="36"/>
      <c r="F22" s="36"/>
      <c r="G22" s="36"/>
      <c r="H22" s="36"/>
      <c r="I22" s="36"/>
      <c r="J22" s="36"/>
      <c r="K22" s="36"/>
      <c r="L22" s="36"/>
      <c r="M22" s="36"/>
      <c r="N22" s="36"/>
      <c r="O22" s="36"/>
    </row>
    <row r="23" spans="1:15" ht="20.25" x14ac:dyDescent="0.25">
      <c r="A23" s="56"/>
      <c r="B23" s="56"/>
      <c r="C23" s="58"/>
      <c r="D23" s="58"/>
      <c r="E23" s="36"/>
      <c r="F23" s="36"/>
      <c r="G23" s="36"/>
      <c r="H23" s="36"/>
      <c r="I23" s="36"/>
      <c r="J23" s="36"/>
      <c r="K23" s="36"/>
      <c r="L23" s="36"/>
      <c r="M23" s="36"/>
      <c r="N23" s="36"/>
      <c r="O23" s="36"/>
    </row>
    <row r="24" spans="1:15" ht="20.25" x14ac:dyDescent="0.25">
      <c r="A24" s="56"/>
      <c r="B24" s="56"/>
      <c r="C24" s="58"/>
      <c r="D24" s="58"/>
      <c r="E24" s="36"/>
      <c r="F24" s="36"/>
      <c r="G24" s="36"/>
      <c r="H24" s="36"/>
      <c r="I24" s="36"/>
      <c r="J24" s="36"/>
      <c r="K24" s="36"/>
      <c r="L24" s="36"/>
      <c r="M24" s="36"/>
      <c r="N24" s="36"/>
      <c r="O24" s="36"/>
    </row>
    <row r="25" spans="1:15" ht="20.25" x14ac:dyDescent="0.25">
      <c r="A25" s="56"/>
      <c r="B25" s="56"/>
      <c r="C25" s="58"/>
      <c r="D25" s="58"/>
      <c r="E25" s="36"/>
      <c r="F25" s="36"/>
      <c r="G25" s="36"/>
      <c r="H25" s="36"/>
      <c r="I25" s="36"/>
      <c r="J25" s="36"/>
      <c r="K25" s="36"/>
      <c r="L25" s="36"/>
      <c r="M25" s="36"/>
      <c r="N25" s="36"/>
      <c r="O25" s="36"/>
    </row>
    <row r="26" spans="1:15" ht="20.25" x14ac:dyDescent="0.25">
      <c r="A26" s="56"/>
      <c r="B26" s="56"/>
      <c r="C26" s="58"/>
      <c r="D26" s="58"/>
      <c r="E26" s="36"/>
      <c r="F26" s="36"/>
      <c r="G26" s="36"/>
      <c r="H26" s="36"/>
      <c r="I26" s="36"/>
      <c r="J26" s="36"/>
      <c r="K26" s="36"/>
      <c r="L26" s="36"/>
      <c r="M26" s="36"/>
      <c r="N26" s="36"/>
      <c r="O26" s="36"/>
    </row>
    <row r="27" spans="1:15" ht="20.25" x14ac:dyDescent="0.25">
      <c r="A27" s="56"/>
      <c r="B27" s="56"/>
      <c r="C27" s="58"/>
      <c r="D27" s="58"/>
      <c r="E27" s="36"/>
      <c r="F27" s="36"/>
      <c r="G27" s="36"/>
      <c r="H27" s="36"/>
      <c r="I27" s="36"/>
      <c r="J27" s="36"/>
      <c r="K27" s="36"/>
      <c r="L27" s="36"/>
      <c r="M27" s="36"/>
      <c r="N27" s="36"/>
      <c r="O27" s="36"/>
    </row>
    <row r="28" spans="1:15" ht="20.25" x14ac:dyDescent="0.25">
      <c r="A28" s="56"/>
      <c r="B28" s="56"/>
      <c r="C28" s="58"/>
      <c r="D28" s="58"/>
      <c r="E28" s="36"/>
      <c r="F28" s="36"/>
      <c r="G28" s="36"/>
      <c r="H28" s="36"/>
      <c r="I28" s="36"/>
      <c r="J28" s="36"/>
      <c r="K28" s="36"/>
      <c r="L28" s="36"/>
      <c r="M28" s="36"/>
      <c r="N28" s="36"/>
      <c r="O28" s="36"/>
    </row>
    <row r="29" spans="1:15" ht="20.25" x14ac:dyDescent="0.25">
      <c r="A29" s="56"/>
      <c r="B29" s="56"/>
      <c r="C29" s="58"/>
      <c r="D29" s="58"/>
      <c r="E29" s="36"/>
      <c r="F29" s="36"/>
      <c r="G29" s="36"/>
      <c r="H29" s="36"/>
      <c r="I29" s="36"/>
      <c r="J29" s="36"/>
      <c r="K29" s="36"/>
      <c r="L29" s="36"/>
      <c r="M29" s="36"/>
      <c r="N29" s="36"/>
      <c r="O29" s="36"/>
    </row>
    <row r="30" spans="1:15" ht="20.25" x14ac:dyDescent="0.25">
      <c r="A30" s="56"/>
      <c r="B30" s="56"/>
      <c r="C30" s="58"/>
      <c r="D30" s="58"/>
      <c r="E30" s="36"/>
      <c r="F30" s="36"/>
      <c r="G30" s="36"/>
      <c r="H30" s="36"/>
      <c r="I30" s="36"/>
      <c r="J30" s="36"/>
      <c r="K30" s="36"/>
      <c r="L30" s="36"/>
      <c r="M30" s="36"/>
      <c r="N30" s="36"/>
      <c r="O30" s="36"/>
    </row>
    <row r="31" spans="1:15" ht="20.25" x14ac:dyDescent="0.25">
      <c r="A31" s="56"/>
      <c r="B31" s="56"/>
      <c r="C31" s="58"/>
      <c r="D31" s="58"/>
      <c r="E31" s="36"/>
      <c r="F31" s="36"/>
      <c r="G31" s="36"/>
      <c r="H31" s="36"/>
      <c r="I31" s="36"/>
      <c r="J31" s="36"/>
      <c r="K31" s="36"/>
      <c r="L31" s="36"/>
      <c r="M31" s="36"/>
      <c r="N31" s="36"/>
      <c r="O31" s="36"/>
    </row>
    <row r="32" spans="1:15" ht="20.25" x14ac:dyDescent="0.25">
      <c r="A32" s="56"/>
      <c r="B32" s="56"/>
      <c r="C32" s="58"/>
      <c r="D32" s="58"/>
      <c r="E32" s="36"/>
      <c r="F32" s="36"/>
      <c r="G32" s="36"/>
      <c r="H32" s="36"/>
      <c r="I32" s="36"/>
      <c r="J32" s="36"/>
      <c r="K32" s="36"/>
      <c r="L32" s="36"/>
      <c r="M32" s="36"/>
      <c r="N32" s="36"/>
      <c r="O32" s="36"/>
    </row>
    <row r="33" spans="1:15" ht="20.25" x14ac:dyDescent="0.25">
      <c r="A33" s="56"/>
      <c r="B33" s="56"/>
      <c r="C33" s="58"/>
      <c r="D33" s="58"/>
      <c r="E33" s="36"/>
      <c r="F33" s="36"/>
      <c r="G33" s="36"/>
      <c r="H33" s="36"/>
      <c r="I33" s="36"/>
      <c r="J33" s="36"/>
      <c r="K33" s="36"/>
      <c r="L33" s="36"/>
      <c r="M33" s="36"/>
      <c r="N33" s="36"/>
      <c r="O33" s="36"/>
    </row>
    <row r="34" spans="1:15" ht="20.25" x14ac:dyDescent="0.25">
      <c r="A34" s="56"/>
      <c r="B34" s="56"/>
      <c r="C34" s="58"/>
      <c r="D34" s="58"/>
      <c r="E34" s="36"/>
      <c r="F34" s="36"/>
      <c r="G34" s="36"/>
      <c r="H34" s="36"/>
      <c r="I34" s="36"/>
      <c r="J34" s="36"/>
      <c r="K34" s="36"/>
      <c r="L34" s="36"/>
      <c r="M34" s="36"/>
      <c r="N34" s="36"/>
      <c r="O34" s="36"/>
    </row>
    <row r="35" spans="1:15" ht="20.25" x14ac:dyDescent="0.25">
      <c r="A35" s="56"/>
      <c r="B35" s="56"/>
      <c r="C35" s="58"/>
      <c r="D35" s="58"/>
      <c r="E35" s="36"/>
      <c r="F35" s="36"/>
      <c r="G35" s="36"/>
      <c r="H35" s="36"/>
      <c r="I35" s="36"/>
      <c r="J35" s="36"/>
      <c r="K35" s="36"/>
      <c r="L35" s="36"/>
      <c r="M35" s="36"/>
      <c r="N35" s="36"/>
      <c r="O35" s="36"/>
    </row>
    <row r="36" spans="1:15" ht="20.25" x14ac:dyDescent="0.25">
      <c r="A36" s="56"/>
      <c r="B36" s="56"/>
      <c r="C36" s="58"/>
      <c r="D36" s="58"/>
      <c r="E36" s="36"/>
      <c r="F36" s="36"/>
      <c r="G36" s="36"/>
      <c r="H36" s="36"/>
      <c r="I36" s="36"/>
      <c r="J36" s="36"/>
      <c r="K36" s="36"/>
      <c r="L36" s="36"/>
      <c r="M36" s="36"/>
      <c r="N36" s="36"/>
      <c r="O36" s="36"/>
    </row>
    <row r="37" spans="1:15" ht="20.25" x14ac:dyDescent="0.25">
      <c r="A37" s="56"/>
      <c r="B37" s="56"/>
      <c r="C37" s="58"/>
      <c r="D37" s="58"/>
      <c r="E37" s="36"/>
      <c r="F37" s="36"/>
      <c r="G37" s="36"/>
      <c r="H37" s="36"/>
      <c r="I37" s="36"/>
      <c r="J37" s="36"/>
      <c r="K37" s="36"/>
      <c r="L37" s="36"/>
      <c r="M37" s="36"/>
      <c r="N37" s="36"/>
      <c r="O37" s="36"/>
    </row>
    <row r="38" spans="1:15" ht="20.25" x14ac:dyDescent="0.25">
      <c r="A38" s="56"/>
      <c r="B38" s="56"/>
      <c r="C38" s="58"/>
      <c r="D38" s="58"/>
      <c r="E38" s="36"/>
      <c r="F38" s="36"/>
      <c r="G38" s="36"/>
      <c r="H38" s="36"/>
      <c r="I38" s="36"/>
      <c r="J38" s="36"/>
      <c r="K38" s="36"/>
      <c r="L38" s="36"/>
      <c r="M38" s="36"/>
      <c r="N38" s="36"/>
      <c r="O38" s="36"/>
    </row>
    <row r="39" spans="1:15" ht="20.25" x14ac:dyDescent="0.25">
      <c r="A39" s="56"/>
      <c r="B39" s="56"/>
      <c r="C39" s="58"/>
      <c r="D39" s="58"/>
      <c r="E39" s="36"/>
      <c r="F39" s="36"/>
      <c r="G39" s="36"/>
      <c r="H39" s="36"/>
      <c r="I39" s="36"/>
      <c r="J39" s="36"/>
      <c r="K39" s="36"/>
      <c r="L39" s="36"/>
      <c r="M39" s="36"/>
      <c r="N39" s="36"/>
      <c r="O39" s="36"/>
    </row>
    <row r="40" spans="1:15" ht="20.25" x14ac:dyDescent="0.25">
      <c r="A40" s="56"/>
      <c r="B40" s="56"/>
      <c r="C40" s="58"/>
      <c r="D40" s="58"/>
      <c r="E40" s="36"/>
      <c r="F40" s="36"/>
      <c r="G40" s="36"/>
      <c r="H40" s="36"/>
      <c r="I40" s="36"/>
      <c r="J40" s="36"/>
      <c r="K40" s="36"/>
      <c r="L40" s="36"/>
      <c r="M40" s="36"/>
      <c r="N40" s="36"/>
      <c r="O40" s="36"/>
    </row>
    <row r="41" spans="1:15" ht="20.25" x14ac:dyDescent="0.25">
      <c r="A41" s="56"/>
      <c r="B41" s="56"/>
      <c r="C41" s="58"/>
      <c r="D41" s="58"/>
      <c r="E41" s="36"/>
      <c r="F41" s="36"/>
      <c r="G41" s="36"/>
      <c r="H41" s="36"/>
      <c r="I41" s="36"/>
      <c r="J41" s="36"/>
      <c r="K41" s="36"/>
      <c r="L41" s="36"/>
      <c r="M41" s="36"/>
      <c r="N41" s="36"/>
      <c r="O41" s="36"/>
    </row>
    <row r="42" spans="1:15" ht="20.25" x14ac:dyDescent="0.25">
      <c r="A42" s="56"/>
      <c r="B42" s="56"/>
      <c r="C42" s="58"/>
      <c r="D42" s="58"/>
      <c r="E42" s="36"/>
      <c r="F42" s="36"/>
      <c r="G42" s="36"/>
      <c r="H42" s="36"/>
      <c r="I42" s="36"/>
      <c r="J42" s="36"/>
      <c r="K42" s="36"/>
      <c r="L42" s="36"/>
      <c r="M42" s="36"/>
      <c r="N42" s="36"/>
      <c r="O42" s="36"/>
    </row>
    <row r="43" spans="1:15" ht="20.25" x14ac:dyDescent="0.25">
      <c r="A43" s="56"/>
      <c r="B43" s="56"/>
      <c r="C43" s="58"/>
      <c r="D43" s="58"/>
      <c r="E43" s="36"/>
      <c r="F43" s="36"/>
      <c r="G43" s="36"/>
      <c r="H43" s="36"/>
      <c r="I43" s="36"/>
      <c r="J43" s="36"/>
      <c r="K43" s="36"/>
      <c r="L43" s="36"/>
      <c r="M43" s="36"/>
      <c r="N43" s="36"/>
      <c r="O43" s="36"/>
    </row>
    <row r="44" spans="1:15" ht="20.25" x14ac:dyDescent="0.25">
      <c r="A44" s="56"/>
      <c r="B44" s="56"/>
      <c r="C44" s="58"/>
      <c r="D44" s="58"/>
      <c r="E44" s="36"/>
      <c r="F44" s="36"/>
      <c r="G44" s="36"/>
      <c r="H44" s="36"/>
      <c r="I44" s="36"/>
      <c r="J44" s="36"/>
      <c r="K44" s="36"/>
      <c r="L44" s="36"/>
      <c r="M44" s="36"/>
      <c r="N44" s="36"/>
      <c r="O44" s="36"/>
    </row>
    <row r="45" spans="1:15" ht="20.25" x14ac:dyDescent="0.25">
      <c r="A45" s="56"/>
      <c r="B45" s="56"/>
      <c r="C45" s="58"/>
      <c r="D45" s="58"/>
      <c r="E45" s="36"/>
      <c r="F45" s="36"/>
      <c r="G45" s="36"/>
      <c r="H45" s="36"/>
      <c r="I45" s="36"/>
      <c r="J45" s="36"/>
      <c r="K45" s="36"/>
      <c r="L45" s="36"/>
      <c r="M45" s="36"/>
      <c r="N45" s="36"/>
      <c r="O45" s="36"/>
    </row>
    <row r="46" spans="1:15" ht="20.25" x14ac:dyDescent="0.25">
      <c r="A46" s="56"/>
      <c r="B46" s="56"/>
      <c r="C46" s="58"/>
      <c r="D46" s="58"/>
      <c r="E46" s="36"/>
      <c r="F46" s="36"/>
      <c r="G46" s="36"/>
      <c r="H46" s="36"/>
      <c r="I46" s="36"/>
      <c r="J46" s="36"/>
      <c r="K46" s="36"/>
      <c r="L46" s="36"/>
      <c r="M46" s="36"/>
      <c r="N46" s="36"/>
      <c r="O46" s="36"/>
    </row>
    <row r="47" spans="1:15" ht="20.25" x14ac:dyDescent="0.25">
      <c r="A47" s="56"/>
      <c r="B47" s="56"/>
      <c r="C47" s="58"/>
      <c r="D47" s="58"/>
      <c r="E47" s="36"/>
      <c r="F47" s="36"/>
      <c r="G47" s="36"/>
      <c r="H47" s="36"/>
      <c r="I47" s="36"/>
      <c r="J47" s="36"/>
      <c r="K47" s="36"/>
      <c r="L47" s="36"/>
      <c r="M47" s="36"/>
      <c r="N47" s="36"/>
      <c r="O47" s="36"/>
    </row>
    <row r="48" spans="1:15" ht="20.25" x14ac:dyDescent="0.25">
      <c r="A48" s="56"/>
      <c r="B48" s="56"/>
      <c r="C48" s="58"/>
      <c r="D48" s="58"/>
      <c r="E48" s="36"/>
      <c r="F48" s="36"/>
      <c r="G48" s="36"/>
      <c r="H48" s="36"/>
      <c r="I48" s="36"/>
      <c r="J48" s="36"/>
      <c r="K48" s="36"/>
      <c r="L48" s="36"/>
      <c r="M48" s="36"/>
      <c r="N48" s="36"/>
      <c r="O48" s="36"/>
    </row>
    <row r="49" spans="1:15" ht="20.25" x14ac:dyDescent="0.25">
      <c r="A49" s="56"/>
      <c r="B49" s="56"/>
      <c r="C49" s="58"/>
      <c r="D49" s="58"/>
      <c r="E49" s="36"/>
      <c r="F49" s="36"/>
      <c r="G49" s="36"/>
      <c r="H49" s="36"/>
      <c r="I49" s="36"/>
      <c r="J49" s="36"/>
      <c r="K49" s="36"/>
      <c r="L49" s="36"/>
      <c r="M49" s="36"/>
      <c r="N49" s="36"/>
      <c r="O49" s="36"/>
    </row>
    <row r="50" spans="1:15" ht="20.25" x14ac:dyDescent="0.25">
      <c r="A50" s="56"/>
      <c r="B50" s="56"/>
      <c r="C50" s="58"/>
      <c r="D50" s="58"/>
      <c r="E50" s="36"/>
      <c r="F50" s="36"/>
      <c r="G50" s="36"/>
      <c r="H50" s="36"/>
      <c r="I50" s="36"/>
      <c r="J50" s="36"/>
      <c r="K50" s="36"/>
      <c r="L50" s="36"/>
      <c r="M50" s="36"/>
      <c r="N50" s="36"/>
      <c r="O50" s="36"/>
    </row>
    <row r="51" spans="1:15" ht="20.25" x14ac:dyDescent="0.25">
      <c r="A51" s="56"/>
      <c r="B51" s="56"/>
      <c r="C51" s="58"/>
      <c r="D51" s="58"/>
      <c r="E51" s="36"/>
      <c r="F51" s="36"/>
      <c r="G51" s="36"/>
      <c r="H51" s="36"/>
      <c r="I51" s="36"/>
      <c r="J51" s="36"/>
      <c r="K51" s="36"/>
      <c r="L51" s="36"/>
      <c r="M51" s="36"/>
      <c r="N51" s="36"/>
      <c r="O51" s="36"/>
    </row>
    <row r="52" spans="1:15" ht="20.25" x14ac:dyDescent="0.25">
      <c r="A52" s="56"/>
      <c r="B52" s="15"/>
      <c r="C52" s="20"/>
      <c r="D52" s="20"/>
    </row>
    <row r="53" spans="1:15" ht="20.25" x14ac:dyDescent="0.25">
      <c r="A53" s="56"/>
      <c r="B53" s="15"/>
      <c r="C53" s="20"/>
      <c r="D53" s="20"/>
    </row>
    <row r="54" spans="1:15" ht="20.25" x14ac:dyDescent="0.25">
      <c r="A54" s="56"/>
      <c r="B54" s="15"/>
      <c r="C54" s="20"/>
      <c r="D54" s="20"/>
    </row>
    <row r="55" spans="1:15" ht="20.25" x14ac:dyDescent="0.25">
      <c r="A55" s="56"/>
      <c r="B55" s="15"/>
      <c r="C55" s="20"/>
      <c r="D55" s="20"/>
    </row>
    <row r="56" spans="1:15" ht="20.25" x14ac:dyDescent="0.25">
      <c r="A56" s="56"/>
      <c r="B56" s="15"/>
      <c r="C56" s="20"/>
      <c r="D56" s="20"/>
    </row>
    <row r="57" spans="1:15" ht="20.25" x14ac:dyDescent="0.25">
      <c r="A57" s="56"/>
      <c r="B57" s="15"/>
      <c r="C57" s="20"/>
      <c r="D57" s="20"/>
    </row>
    <row r="58" spans="1:15" ht="20.25" x14ac:dyDescent="0.25">
      <c r="A58" s="56"/>
      <c r="B58" s="15"/>
      <c r="C58" s="20"/>
      <c r="D58" s="20"/>
    </row>
    <row r="59" spans="1:15" ht="20.25" x14ac:dyDescent="0.25">
      <c r="A59" s="56"/>
      <c r="B59" s="15"/>
      <c r="C59" s="20"/>
      <c r="D59" s="20"/>
    </row>
    <row r="60" spans="1:15" ht="20.25" x14ac:dyDescent="0.25">
      <c r="A60" s="56"/>
      <c r="B60" s="15"/>
      <c r="C60" s="20"/>
      <c r="D60" s="20"/>
    </row>
    <row r="61" spans="1:15" ht="20.25" x14ac:dyDescent="0.25">
      <c r="A61" s="56"/>
      <c r="B61" s="15"/>
      <c r="C61" s="20"/>
      <c r="D61" s="20"/>
    </row>
    <row r="62" spans="1:15" ht="20.25" x14ac:dyDescent="0.25">
      <c r="A62" s="56"/>
      <c r="B62" s="15"/>
      <c r="C62" s="20"/>
      <c r="D62" s="20"/>
    </row>
    <row r="63" spans="1:15" ht="20.25" x14ac:dyDescent="0.25">
      <c r="A63" s="56"/>
      <c r="B63" s="15"/>
      <c r="C63" s="20"/>
      <c r="D63" s="20"/>
    </row>
    <row r="64" spans="1:15" ht="20.25" x14ac:dyDescent="0.25">
      <c r="A64" s="56"/>
      <c r="B64" s="15"/>
      <c r="C64" s="20"/>
      <c r="D64" s="20"/>
    </row>
    <row r="65" spans="1:4" ht="20.25" x14ac:dyDescent="0.25">
      <c r="A65" s="56"/>
      <c r="B65" s="15"/>
      <c r="C65" s="20"/>
      <c r="D65" s="20"/>
    </row>
    <row r="66" spans="1:4" ht="20.25" x14ac:dyDescent="0.25">
      <c r="A66" s="56"/>
      <c r="B66" s="15"/>
      <c r="C66" s="20"/>
      <c r="D66" s="20"/>
    </row>
    <row r="67" spans="1:4" ht="20.25" x14ac:dyDescent="0.25">
      <c r="A67" s="56"/>
      <c r="B67" s="15"/>
      <c r="C67" s="20"/>
      <c r="D67" s="20"/>
    </row>
    <row r="68" spans="1:4" ht="20.25" x14ac:dyDescent="0.25">
      <c r="A68" s="56"/>
      <c r="B68" s="15"/>
      <c r="C68" s="20"/>
      <c r="D68" s="20"/>
    </row>
    <row r="69" spans="1:4" ht="20.25" x14ac:dyDescent="0.25">
      <c r="A69" s="56"/>
      <c r="B69" s="15"/>
      <c r="C69" s="20"/>
      <c r="D69" s="20"/>
    </row>
    <row r="70" spans="1:4" ht="20.25" x14ac:dyDescent="0.25">
      <c r="A70" s="56"/>
      <c r="B70" s="15"/>
      <c r="C70" s="20"/>
      <c r="D70" s="20"/>
    </row>
    <row r="71" spans="1:4" ht="20.25" x14ac:dyDescent="0.25">
      <c r="A71" s="56"/>
      <c r="B71" s="15"/>
      <c r="C71" s="20"/>
      <c r="D71" s="20"/>
    </row>
    <row r="72" spans="1:4" ht="20.25" x14ac:dyDescent="0.25">
      <c r="A72" s="56"/>
      <c r="B72" s="15"/>
      <c r="C72" s="20"/>
      <c r="D72" s="20"/>
    </row>
    <row r="73" spans="1:4" ht="20.25" x14ac:dyDescent="0.25">
      <c r="A73" s="56"/>
      <c r="B73" s="15"/>
      <c r="C73" s="20"/>
      <c r="D73" s="20"/>
    </row>
    <row r="74" spans="1:4" ht="20.25" x14ac:dyDescent="0.25">
      <c r="A74" s="56"/>
      <c r="B74" s="15"/>
      <c r="C74" s="20"/>
      <c r="D74" s="20"/>
    </row>
    <row r="75" spans="1:4" ht="20.25" x14ac:dyDescent="0.25">
      <c r="A75" s="56"/>
      <c r="B75" s="15"/>
      <c r="C75" s="20"/>
      <c r="D75" s="20"/>
    </row>
    <row r="76" spans="1:4" ht="20.25" x14ac:dyDescent="0.25">
      <c r="A76" s="56"/>
      <c r="B76" s="15"/>
      <c r="C76" s="20"/>
      <c r="D76" s="20"/>
    </row>
    <row r="77" spans="1:4" ht="20.25" x14ac:dyDescent="0.25">
      <c r="A77" s="56"/>
      <c r="B77" s="15"/>
      <c r="C77" s="20"/>
      <c r="D77" s="20"/>
    </row>
    <row r="78" spans="1:4" ht="20.25" x14ac:dyDescent="0.25">
      <c r="A78" s="56"/>
      <c r="B78" s="15"/>
      <c r="C78" s="20"/>
      <c r="D78" s="20"/>
    </row>
    <row r="79" spans="1:4" ht="20.25" x14ac:dyDescent="0.25">
      <c r="A79" s="56"/>
      <c r="B79" s="15"/>
      <c r="C79" s="20"/>
      <c r="D79" s="20"/>
    </row>
    <row r="80" spans="1:4" ht="20.25" x14ac:dyDescent="0.25">
      <c r="A80" s="56"/>
      <c r="B80" s="15"/>
      <c r="C80" s="20"/>
      <c r="D80" s="20"/>
    </row>
    <row r="81" spans="1:4" ht="20.25" x14ac:dyDescent="0.25">
      <c r="A81" s="56"/>
      <c r="B81" s="15"/>
      <c r="C81" s="20"/>
      <c r="D81" s="20"/>
    </row>
    <row r="82" spans="1:4" ht="20.25" x14ac:dyDescent="0.25">
      <c r="A82" s="56"/>
      <c r="B82" s="15"/>
      <c r="C82" s="20"/>
      <c r="D82" s="20"/>
    </row>
    <row r="83" spans="1:4" ht="20.25" x14ac:dyDescent="0.25">
      <c r="A83" s="56"/>
      <c r="B83" s="15"/>
      <c r="C83" s="20"/>
      <c r="D83" s="20"/>
    </row>
    <row r="84" spans="1:4" ht="20.25" x14ac:dyDescent="0.25">
      <c r="A84" s="56"/>
      <c r="B84" s="15"/>
      <c r="C84" s="20"/>
      <c r="D84" s="20"/>
    </row>
    <row r="85" spans="1:4" ht="20.25" x14ac:dyDescent="0.25">
      <c r="A85" s="56"/>
      <c r="B85" s="15"/>
      <c r="C85" s="20"/>
      <c r="D85" s="20"/>
    </row>
    <row r="86" spans="1:4" ht="20.25" x14ac:dyDescent="0.25">
      <c r="A86" s="56"/>
      <c r="B86" s="15"/>
      <c r="C86" s="20"/>
      <c r="D86" s="20"/>
    </row>
    <row r="87" spans="1:4" ht="20.25" x14ac:dyDescent="0.25">
      <c r="A87" s="56"/>
      <c r="B87" s="15"/>
      <c r="C87" s="20"/>
      <c r="D87" s="20"/>
    </row>
    <row r="88" spans="1:4" ht="20.25" x14ac:dyDescent="0.25">
      <c r="A88" s="56"/>
      <c r="B88" s="15"/>
      <c r="C88" s="20"/>
      <c r="D88" s="20"/>
    </row>
    <row r="89" spans="1:4" ht="20.25" x14ac:dyDescent="0.25">
      <c r="A89" s="56"/>
      <c r="B89" s="15"/>
      <c r="C89" s="20"/>
      <c r="D89" s="20"/>
    </row>
    <row r="90" spans="1:4" ht="20.25" x14ac:dyDescent="0.25">
      <c r="A90" s="56"/>
      <c r="B90" s="15"/>
      <c r="C90" s="20"/>
      <c r="D90" s="20"/>
    </row>
    <row r="91" spans="1:4" ht="20.25" x14ac:dyDescent="0.25">
      <c r="A91" s="56"/>
      <c r="B91" s="15"/>
      <c r="C91" s="20"/>
      <c r="D91" s="20"/>
    </row>
    <row r="92" spans="1:4" ht="20.25" x14ac:dyDescent="0.25">
      <c r="A92" s="56"/>
      <c r="B92" s="15"/>
      <c r="C92" s="20"/>
      <c r="D92" s="20"/>
    </row>
    <row r="93" spans="1:4" ht="20.25" x14ac:dyDescent="0.25">
      <c r="A93" s="56"/>
      <c r="B93" s="15"/>
      <c r="C93" s="20"/>
      <c r="D93" s="20"/>
    </row>
    <row r="94" spans="1:4" ht="20.25" x14ac:dyDescent="0.25">
      <c r="A94" s="56"/>
      <c r="B94" s="15"/>
      <c r="C94" s="20"/>
      <c r="D94" s="20"/>
    </row>
    <row r="95" spans="1:4" ht="20.25" x14ac:dyDescent="0.25">
      <c r="A95" s="56"/>
      <c r="B95" s="15"/>
      <c r="C95" s="20"/>
      <c r="D95" s="20"/>
    </row>
    <row r="96" spans="1:4" ht="20.25" x14ac:dyDescent="0.25">
      <c r="A96" s="56"/>
      <c r="B96" s="15"/>
      <c r="C96" s="20"/>
      <c r="D96" s="20"/>
    </row>
    <row r="97" spans="1:4" ht="20.25" x14ac:dyDescent="0.25">
      <c r="A97" s="56"/>
      <c r="B97" s="15"/>
      <c r="C97" s="20"/>
      <c r="D97" s="20"/>
    </row>
    <row r="98" spans="1:4" ht="20.25" x14ac:dyDescent="0.25">
      <c r="A98" s="56"/>
      <c r="B98" s="15"/>
      <c r="C98" s="20"/>
      <c r="D98" s="20"/>
    </row>
    <row r="99" spans="1:4" ht="20.25" x14ac:dyDescent="0.25">
      <c r="A99" s="56"/>
      <c r="B99" s="15"/>
      <c r="C99" s="20"/>
      <c r="D99" s="20"/>
    </row>
    <row r="100" spans="1:4" ht="20.25" x14ac:dyDescent="0.25">
      <c r="A100" s="56"/>
      <c r="B100" s="15"/>
      <c r="C100" s="20"/>
      <c r="D100" s="20"/>
    </row>
    <row r="101" spans="1:4" ht="20.25" x14ac:dyDescent="0.25">
      <c r="A101" s="56"/>
      <c r="B101" s="15"/>
      <c r="C101" s="20"/>
      <c r="D101" s="20"/>
    </row>
    <row r="102" spans="1:4" ht="20.25" x14ac:dyDescent="0.25">
      <c r="A102" s="56"/>
      <c r="B102" s="15"/>
      <c r="C102" s="20"/>
      <c r="D102" s="20"/>
    </row>
    <row r="103" spans="1:4" ht="20.25" x14ac:dyDescent="0.25">
      <c r="A103" s="56"/>
      <c r="B103" s="15"/>
      <c r="C103" s="20"/>
      <c r="D103" s="20"/>
    </row>
    <row r="104" spans="1:4" ht="20.25" x14ac:dyDescent="0.25">
      <c r="A104" s="56"/>
      <c r="B104" s="15"/>
      <c r="C104" s="20"/>
      <c r="D104" s="20"/>
    </row>
    <row r="105" spans="1:4" ht="20.25" x14ac:dyDescent="0.25">
      <c r="A105" s="56"/>
      <c r="B105" s="15"/>
      <c r="C105" s="20"/>
      <c r="D105" s="20"/>
    </row>
    <row r="106" spans="1:4" ht="20.25" x14ac:dyDescent="0.25">
      <c r="A106" s="56"/>
      <c r="B106" s="15"/>
      <c r="C106" s="20"/>
      <c r="D106" s="20"/>
    </row>
    <row r="107" spans="1:4" ht="20.25" x14ac:dyDescent="0.25">
      <c r="A107" s="56"/>
      <c r="B107" s="15"/>
      <c r="C107" s="20"/>
      <c r="D107" s="20"/>
    </row>
    <row r="108" spans="1:4" ht="20.25" x14ac:dyDescent="0.25">
      <c r="A108" s="56"/>
      <c r="B108" s="15"/>
      <c r="C108" s="20"/>
      <c r="D108" s="20"/>
    </row>
    <row r="109" spans="1:4" ht="20.25" x14ac:dyDescent="0.25">
      <c r="A109" s="56"/>
      <c r="B109" s="15"/>
      <c r="C109" s="20"/>
      <c r="D109" s="20"/>
    </row>
    <row r="110" spans="1:4" ht="20.25" x14ac:dyDescent="0.25">
      <c r="A110" s="56"/>
      <c r="B110" s="15"/>
      <c r="C110" s="20"/>
      <c r="D110" s="20"/>
    </row>
    <row r="111" spans="1:4" ht="20.25" x14ac:dyDescent="0.25">
      <c r="A111" s="56"/>
      <c r="B111" s="15"/>
      <c r="C111" s="20"/>
      <c r="D111" s="20"/>
    </row>
    <row r="112" spans="1:4" ht="20.25" x14ac:dyDescent="0.25">
      <c r="A112" s="56"/>
      <c r="B112" s="15"/>
      <c r="C112" s="20"/>
      <c r="D112" s="20"/>
    </row>
    <row r="113" spans="1:4" ht="20.25" x14ac:dyDescent="0.25">
      <c r="A113" s="56"/>
      <c r="B113" s="15"/>
      <c r="C113" s="20"/>
      <c r="D113" s="20"/>
    </row>
    <row r="114" spans="1:4" ht="20.25" x14ac:dyDescent="0.25">
      <c r="A114" s="56"/>
      <c r="B114" s="15"/>
      <c r="C114" s="20"/>
      <c r="D114" s="20"/>
    </row>
    <row r="115" spans="1:4" ht="20.25" x14ac:dyDescent="0.25">
      <c r="A115" s="56"/>
      <c r="B115" s="15"/>
      <c r="C115" s="20"/>
      <c r="D115" s="20"/>
    </row>
    <row r="116" spans="1:4" ht="20.25" x14ac:dyDescent="0.25">
      <c r="A116" s="56"/>
      <c r="B116" s="15"/>
      <c r="C116" s="20"/>
      <c r="D116" s="20"/>
    </row>
    <row r="117" spans="1:4" ht="20.25" x14ac:dyDescent="0.25">
      <c r="A117" s="56"/>
      <c r="B117" s="15"/>
      <c r="C117" s="20"/>
      <c r="D117" s="20"/>
    </row>
    <row r="118" spans="1:4" ht="20.25" x14ac:dyDescent="0.25">
      <c r="A118" s="56"/>
      <c r="B118" s="15"/>
      <c r="C118" s="20"/>
      <c r="D118" s="20"/>
    </row>
    <row r="119" spans="1:4" ht="20.25" x14ac:dyDescent="0.25">
      <c r="A119" s="56"/>
      <c r="B119" s="15"/>
      <c r="C119" s="20"/>
      <c r="D119" s="20"/>
    </row>
    <row r="120" spans="1:4" ht="20.25" x14ac:dyDescent="0.25">
      <c r="A120" s="56"/>
      <c r="B120" s="15"/>
      <c r="C120" s="20"/>
      <c r="D120" s="20"/>
    </row>
    <row r="121" spans="1:4" ht="20.25" x14ac:dyDescent="0.25">
      <c r="A121" s="56"/>
      <c r="B121" s="15"/>
      <c r="C121" s="20"/>
      <c r="D121" s="20"/>
    </row>
    <row r="122" spans="1:4" ht="20.25" x14ac:dyDescent="0.25">
      <c r="A122" s="56"/>
      <c r="B122" s="15"/>
      <c r="C122" s="20"/>
      <c r="D122" s="20"/>
    </row>
    <row r="123" spans="1:4" ht="20.25" x14ac:dyDescent="0.25">
      <c r="A123" s="56"/>
      <c r="B123" s="15"/>
      <c r="C123" s="20"/>
      <c r="D123" s="20"/>
    </row>
    <row r="124" spans="1:4" ht="20.25" x14ac:dyDescent="0.25">
      <c r="A124" s="56"/>
      <c r="B124" s="15"/>
      <c r="C124" s="20"/>
      <c r="D124" s="20"/>
    </row>
    <row r="125" spans="1:4" ht="20.25" x14ac:dyDescent="0.25">
      <c r="A125" s="56"/>
      <c r="B125" s="15"/>
      <c r="C125" s="20"/>
      <c r="D125" s="20"/>
    </row>
    <row r="126" spans="1:4" ht="20.25" x14ac:dyDescent="0.25">
      <c r="A126" s="56"/>
      <c r="B126" s="15"/>
      <c r="C126" s="20"/>
      <c r="D126" s="20"/>
    </row>
    <row r="127" spans="1:4" ht="20.25" x14ac:dyDescent="0.25">
      <c r="A127" s="56"/>
      <c r="B127" s="15"/>
      <c r="C127" s="20"/>
      <c r="D127" s="20"/>
    </row>
    <row r="128" spans="1:4" ht="20.25" x14ac:dyDescent="0.25">
      <c r="A128" s="56"/>
      <c r="B128" s="15"/>
      <c r="C128" s="20"/>
      <c r="D128" s="20"/>
    </row>
    <row r="129" spans="1:4" ht="20.25" x14ac:dyDescent="0.25">
      <c r="A129" s="56"/>
      <c r="B129" s="15"/>
      <c r="C129" s="20"/>
      <c r="D129" s="20"/>
    </row>
    <row r="130" spans="1:4" ht="20.25" x14ac:dyDescent="0.25">
      <c r="A130" s="56"/>
      <c r="B130" s="15"/>
      <c r="C130" s="20"/>
      <c r="D130" s="20"/>
    </row>
    <row r="131" spans="1:4" ht="20.25" x14ac:dyDescent="0.25">
      <c r="A131" s="56"/>
      <c r="B131" s="15"/>
      <c r="C131" s="20"/>
      <c r="D131" s="20"/>
    </row>
    <row r="132" spans="1:4" ht="20.25" x14ac:dyDescent="0.25">
      <c r="A132" s="56"/>
      <c r="B132" s="15"/>
      <c r="C132" s="20"/>
      <c r="D132" s="20"/>
    </row>
    <row r="133" spans="1:4" ht="20.25" x14ac:dyDescent="0.25">
      <c r="A133" s="56"/>
      <c r="B133" s="15"/>
      <c r="C133" s="20"/>
      <c r="D133" s="20"/>
    </row>
    <row r="134" spans="1:4" ht="20.25" x14ac:dyDescent="0.25">
      <c r="A134" s="56"/>
      <c r="B134" s="15"/>
      <c r="C134" s="20"/>
      <c r="D134" s="20"/>
    </row>
    <row r="135" spans="1:4" ht="20.25" x14ac:dyDescent="0.25">
      <c r="A135" s="56"/>
      <c r="B135" s="15"/>
      <c r="C135" s="20"/>
      <c r="D135" s="20"/>
    </row>
    <row r="136" spans="1:4" ht="20.25" x14ac:dyDescent="0.25">
      <c r="A136" s="56"/>
      <c r="B136" s="15"/>
      <c r="C136" s="20"/>
      <c r="D136" s="20"/>
    </row>
    <row r="137" spans="1:4" ht="20.25" x14ac:dyDescent="0.25">
      <c r="A137" s="56"/>
      <c r="B137" s="15"/>
      <c r="C137" s="20"/>
      <c r="D137" s="20"/>
    </row>
    <row r="138" spans="1:4" ht="20.25" x14ac:dyDescent="0.25">
      <c r="A138" s="56"/>
      <c r="B138" s="15"/>
      <c r="C138" s="20"/>
      <c r="D138" s="20"/>
    </row>
    <row r="139" spans="1:4" ht="20.25" x14ac:dyDescent="0.25">
      <c r="A139" s="56"/>
      <c r="B139" s="15"/>
      <c r="C139" s="20"/>
      <c r="D139" s="20"/>
    </row>
    <row r="140" spans="1:4" ht="20.25" x14ac:dyDescent="0.25">
      <c r="A140" s="56"/>
      <c r="B140" s="15"/>
      <c r="C140" s="20"/>
      <c r="D140" s="20"/>
    </row>
    <row r="141" spans="1:4" ht="20.25" x14ac:dyDescent="0.25">
      <c r="A141" s="56"/>
      <c r="B141" s="15"/>
      <c r="C141" s="20"/>
      <c r="D141" s="20"/>
    </row>
    <row r="142" spans="1:4" ht="20.25" x14ac:dyDescent="0.25">
      <c r="A142" s="56"/>
      <c r="B142" s="15"/>
      <c r="C142" s="20"/>
      <c r="D142" s="20"/>
    </row>
    <row r="143" spans="1:4" ht="20.25" x14ac:dyDescent="0.25">
      <c r="A143" s="56"/>
      <c r="B143" s="15"/>
      <c r="C143" s="20"/>
      <c r="D143" s="20"/>
    </row>
    <row r="144" spans="1:4" ht="20.25" x14ac:dyDescent="0.25">
      <c r="A144" s="56"/>
      <c r="B144" s="15"/>
      <c r="C144" s="20"/>
      <c r="D144" s="20"/>
    </row>
    <row r="145" spans="1:4" ht="20.25" x14ac:dyDescent="0.25">
      <c r="A145" s="56"/>
      <c r="B145" s="15"/>
      <c r="C145" s="20"/>
      <c r="D145" s="20"/>
    </row>
    <row r="146" spans="1:4" ht="20.25" x14ac:dyDescent="0.25">
      <c r="A146" s="56"/>
      <c r="B146" s="15"/>
      <c r="C146" s="20"/>
      <c r="D146" s="20"/>
    </row>
    <row r="147" spans="1:4" ht="20.25" x14ac:dyDescent="0.25">
      <c r="A147" s="56"/>
      <c r="B147" s="15"/>
      <c r="C147" s="20"/>
      <c r="D147" s="20"/>
    </row>
    <row r="148" spans="1:4" ht="20.25" x14ac:dyDescent="0.25">
      <c r="A148" s="56"/>
      <c r="B148" s="15"/>
      <c r="C148" s="20"/>
      <c r="D148" s="20"/>
    </row>
    <row r="149" spans="1:4" ht="20.25" x14ac:dyDescent="0.25">
      <c r="A149" s="56"/>
      <c r="B149" s="15"/>
      <c r="C149" s="20"/>
      <c r="D149" s="20"/>
    </row>
    <row r="150" spans="1:4" ht="20.25" x14ac:dyDescent="0.25">
      <c r="A150" s="56"/>
      <c r="B150" s="15"/>
      <c r="C150" s="20"/>
      <c r="D150" s="20"/>
    </row>
    <row r="151" spans="1:4" ht="20.25" x14ac:dyDescent="0.25">
      <c r="A151" s="56"/>
      <c r="B151" s="15"/>
      <c r="C151" s="20"/>
      <c r="D151" s="20"/>
    </row>
    <row r="152" spans="1:4" ht="20.25" x14ac:dyDescent="0.25">
      <c r="A152" s="56"/>
      <c r="B152" s="15"/>
      <c r="C152" s="20"/>
      <c r="D152" s="20"/>
    </row>
    <row r="153" spans="1:4" ht="20.25" x14ac:dyDescent="0.25">
      <c r="A153" s="56"/>
      <c r="B153" s="15"/>
      <c r="C153" s="20"/>
      <c r="D153" s="20"/>
    </row>
    <row r="154" spans="1:4" ht="20.25" x14ac:dyDescent="0.25">
      <c r="A154" s="56"/>
      <c r="B154" s="15"/>
      <c r="C154" s="20"/>
      <c r="D154" s="20"/>
    </row>
    <row r="155" spans="1:4" ht="20.25" x14ac:dyDescent="0.25">
      <c r="A155" s="56"/>
      <c r="B155" s="15"/>
      <c r="C155" s="20"/>
      <c r="D155" s="20"/>
    </row>
    <row r="156" spans="1:4" ht="20.25" x14ac:dyDescent="0.25">
      <c r="A156" s="56"/>
      <c r="B156" s="15"/>
      <c r="C156" s="20"/>
      <c r="D156" s="20"/>
    </row>
    <row r="157" spans="1:4" ht="20.25" x14ac:dyDescent="0.25">
      <c r="A157" s="56"/>
      <c r="B157" s="15"/>
      <c r="C157" s="20"/>
      <c r="D157" s="20"/>
    </row>
    <row r="158" spans="1:4" ht="20.25" x14ac:dyDescent="0.25">
      <c r="A158" s="56"/>
      <c r="B158" s="15"/>
      <c r="C158" s="20"/>
      <c r="D158" s="20"/>
    </row>
    <row r="159" spans="1:4" ht="20.25" x14ac:dyDescent="0.25">
      <c r="A159" s="56"/>
      <c r="B159" s="15"/>
      <c r="C159" s="20"/>
      <c r="D159" s="20"/>
    </row>
    <row r="160" spans="1:4" ht="20.25" x14ac:dyDescent="0.25">
      <c r="A160" s="56"/>
      <c r="B160" s="15"/>
      <c r="C160" s="20"/>
      <c r="D160" s="20"/>
    </row>
    <row r="161" spans="1:4" ht="20.25" x14ac:dyDescent="0.25">
      <c r="A161" s="56"/>
      <c r="B161" s="15"/>
      <c r="C161" s="20"/>
      <c r="D161" s="20"/>
    </row>
    <row r="162" spans="1:4" ht="20.25" x14ac:dyDescent="0.25">
      <c r="A162" s="56"/>
      <c r="B162" s="15"/>
      <c r="C162" s="20"/>
      <c r="D162" s="20"/>
    </row>
    <row r="163" spans="1:4" ht="20.25" x14ac:dyDescent="0.25">
      <c r="A163" s="56"/>
      <c r="B163" s="15"/>
      <c r="C163" s="20"/>
      <c r="D163" s="20"/>
    </row>
    <row r="164" spans="1:4" ht="20.25" x14ac:dyDescent="0.25">
      <c r="A164" s="56"/>
      <c r="B164" s="15"/>
      <c r="C164" s="20"/>
      <c r="D164" s="20"/>
    </row>
    <row r="165" spans="1:4" ht="20.25" x14ac:dyDescent="0.25">
      <c r="A165" s="56"/>
      <c r="B165" s="15"/>
      <c r="C165" s="20"/>
      <c r="D165" s="20"/>
    </row>
    <row r="166" spans="1:4" ht="20.25" x14ac:dyDescent="0.25">
      <c r="A166" s="56"/>
      <c r="B166" s="15"/>
      <c r="C166" s="20"/>
      <c r="D166" s="20"/>
    </row>
    <row r="167" spans="1:4" ht="20.25" x14ac:dyDescent="0.25">
      <c r="A167" s="56"/>
      <c r="B167" s="15"/>
      <c r="C167" s="20"/>
      <c r="D167" s="20"/>
    </row>
    <row r="168" spans="1:4" ht="20.25" x14ac:dyDescent="0.25">
      <c r="A168" s="56"/>
      <c r="B168" s="15"/>
      <c r="C168" s="20"/>
      <c r="D168" s="20"/>
    </row>
    <row r="169" spans="1:4" ht="20.25" x14ac:dyDescent="0.25">
      <c r="A169" s="56"/>
      <c r="B169" s="15"/>
      <c r="C169" s="20"/>
      <c r="D169" s="20"/>
    </row>
    <row r="170" spans="1:4" ht="20.25" x14ac:dyDescent="0.25">
      <c r="A170" s="56"/>
      <c r="B170" s="15"/>
      <c r="C170" s="20"/>
      <c r="D170" s="20"/>
    </row>
    <row r="171" spans="1:4" ht="20.25" x14ac:dyDescent="0.25">
      <c r="A171" s="56"/>
      <c r="B171" s="15"/>
      <c r="C171" s="20"/>
      <c r="D171" s="20"/>
    </row>
    <row r="172" spans="1:4" ht="20.25" x14ac:dyDescent="0.25">
      <c r="A172" s="56"/>
      <c r="B172" s="15"/>
      <c r="C172" s="20"/>
      <c r="D172" s="20"/>
    </row>
    <row r="173" spans="1:4" ht="20.25" x14ac:dyDescent="0.25">
      <c r="A173" s="56"/>
      <c r="B173" s="15"/>
      <c r="C173" s="20"/>
      <c r="D173" s="20"/>
    </row>
    <row r="174" spans="1:4" ht="20.25" x14ac:dyDescent="0.25">
      <c r="A174" s="56"/>
      <c r="B174" s="15"/>
      <c r="C174" s="20"/>
      <c r="D174" s="20"/>
    </row>
    <row r="175" spans="1:4" ht="20.25" x14ac:dyDescent="0.25">
      <c r="A175" s="56"/>
      <c r="B175" s="15"/>
      <c r="C175" s="20"/>
      <c r="D175" s="20"/>
    </row>
    <row r="176" spans="1:4" ht="20.25" x14ac:dyDescent="0.25">
      <c r="A176" s="56"/>
      <c r="B176" s="15"/>
      <c r="C176" s="20"/>
      <c r="D176" s="20"/>
    </row>
    <row r="177" spans="1:4" ht="20.25" x14ac:dyDescent="0.25">
      <c r="A177" s="56"/>
      <c r="B177" s="15"/>
      <c r="C177" s="20"/>
      <c r="D177" s="20"/>
    </row>
    <row r="178" spans="1:4" ht="20.25" x14ac:dyDescent="0.25">
      <c r="A178" s="56"/>
      <c r="B178" s="15"/>
      <c r="C178" s="20"/>
      <c r="D178" s="20"/>
    </row>
    <row r="179" spans="1:4" ht="20.25" x14ac:dyDescent="0.25">
      <c r="A179" s="56"/>
      <c r="B179" s="15"/>
      <c r="C179" s="20"/>
      <c r="D179" s="20"/>
    </row>
    <row r="180" spans="1:4" ht="20.25" x14ac:dyDescent="0.25">
      <c r="A180" s="56"/>
      <c r="B180" s="15"/>
      <c r="C180" s="20"/>
      <c r="D180" s="20"/>
    </row>
    <row r="181" spans="1:4" ht="20.25" x14ac:dyDescent="0.25">
      <c r="A181" s="56"/>
      <c r="B181" s="15"/>
      <c r="C181" s="20"/>
      <c r="D181" s="20"/>
    </row>
    <row r="182" spans="1:4" ht="20.25" x14ac:dyDescent="0.25">
      <c r="A182" s="56"/>
      <c r="B182" s="15"/>
      <c r="C182" s="20"/>
      <c r="D182" s="20"/>
    </row>
    <row r="183" spans="1:4" ht="20.25" x14ac:dyDescent="0.25">
      <c r="A183" s="56"/>
      <c r="B183" s="15"/>
      <c r="C183" s="20"/>
      <c r="D183" s="20"/>
    </row>
    <row r="184" spans="1:4" ht="20.25" x14ac:dyDescent="0.25">
      <c r="A184" s="56"/>
      <c r="B184" s="15"/>
      <c r="C184" s="20"/>
      <c r="D184" s="20"/>
    </row>
    <row r="185" spans="1:4" ht="20.25" x14ac:dyDescent="0.25">
      <c r="A185" s="56"/>
      <c r="B185" s="15"/>
      <c r="C185" s="20"/>
      <c r="D185" s="20"/>
    </row>
    <row r="186" spans="1:4" ht="20.25" x14ac:dyDescent="0.25">
      <c r="A186" s="56"/>
      <c r="B186" s="15"/>
      <c r="C186" s="20"/>
      <c r="D186" s="20"/>
    </row>
    <row r="187" spans="1:4" ht="20.25" x14ac:dyDescent="0.25">
      <c r="A187" s="56"/>
      <c r="B187" s="15"/>
      <c r="C187" s="20"/>
      <c r="D187" s="20"/>
    </row>
    <row r="188" spans="1:4" ht="20.25" x14ac:dyDescent="0.25">
      <c r="A188" s="56"/>
      <c r="B188" s="15"/>
      <c r="C188" s="20"/>
      <c r="D188" s="20"/>
    </row>
    <row r="189" spans="1:4" ht="20.25" x14ac:dyDescent="0.25">
      <c r="A189" s="56"/>
      <c r="B189" s="15"/>
      <c r="C189" s="20"/>
      <c r="D189" s="20"/>
    </row>
    <row r="190" spans="1:4" ht="20.25" x14ac:dyDescent="0.25">
      <c r="A190" s="56"/>
      <c r="B190" s="15"/>
      <c r="C190" s="20"/>
      <c r="D190" s="20"/>
    </row>
    <row r="191" spans="1:4" ht="20.25" x14ac:dyDescent="0.25">
      <c r="A191" s="56"/>
      <c r="B191" s="15"/>
      <c r="C191" s="20"/>
      <c r="D191" s="20"/>
    </row>
    <row r="192" spans="1:4" ht="20.25" x14ac:dyDescent="0.25">
      <c r="A192" s="56"/>
      <c r="B192" s="15"/>
      <c r="C192" s="20"/>
      <c r="D192" s="20"/>
    </row>
    <row r="193" spans="1:4" ht="20.25" x14ac:dyDescent="0.25">
      <c r="A193" s="56"/>
      <c r="B193" s="15"/>
      <c r="C193" s="20"/>
      <c r="D193" s="20"/>
    </row>
    <row r="194" spans="1:4" ht="20.25" x14ac:dyDescent="0.25">
      <c r="A194" s="56"/>
      <c r="B194" s="15"/>
      <c r="C194" s="20"/>
      <c r="D194" s="20"/>
    </row>
    <row r="195" spans="1:4" ht="20.25" x14ac:dyDescent="0.25">
      <c r="A195" s="56"/>
      <c r="B195" s="15"/>
      <c r="C195" s="20"/>
      <c r="D195" s="20"/>
    </row>
    <row r="196" spans="1:4" ht="20.25" x14ac:dyDescent="0.25">
      <c r="A196" s="56"/>
      <c r="B196" s="15"/>
      <c r="C196" s="20"/>
      <c r="D196" s="20"/>
    </row>
    <row r="197" spans="1:4" ht="20.25" x14ac:dyDescent="0.25">
      <c r="A197" s="56"/>
      <c r="B197" s="15"/>
      <c r="C197" s="20"/>
      <c r="D197" s="20"/>
    </row>
    <row r="198" spans="1:4" ht="20.25" x14ac:dyDescent="0.25">
      <c r="A198" s="56"/>
      <c r="B198" s="15"/>
      <c r="C198" s="20"/>
      <c r="D198" s="20"/>
    </row>
    <row r="199" spans="1:4" ht="20.25" x14ac:dyDescent="0.25">
      <c r="A199" s="56"/>
      <c r="B199" s="15"/>
      <c r="C199" s="20"/>
      <c r="D199" s="20"/>
    </row>
    <row r="200" spans="1:4" ht="20.25" x14ac:dyDescent="0.25">
      <c r="A200" s="56"/>
      <c r="B200" s="15"/>
      <c r="C200" s="20"/>
      <c r="D200" s="20"/>
    </row>
    <row r="201" spans="1:4" ht="20.25" x14ac:dyDescent="0.25">
      <c r="A201" s="56"/>
      <c r="B201" s="15"/>
      <c r="C201" s="20"/>
      <c r="D201" s="20"/>
    </row>
    <row r="202" spans="1:4" ht="20.25" x14ac:dyDescent="0.25">
      <c r="A202" s="56"/>
      <c r="B202" s="15"/>
      <c r="C202" s="20"/>
      <c r="D202" s="20"/>
    </row>
    <row r="203" spans="1:4" ht="20.25" x14ac:dyDescent="0.25">
      <c r="A203" s="56"/>
      <c r="B203" s="15"/>
      <c r="C203" s="20"/>
      <c r="D203" s="20"/>
    </row>
    <row r="204" spans="1:4" ht="20.25" x14ac:dyDescent="0.25">
      <c r="A204" s="56"/>
      <c r="B204" s="15"/>
      <c r="C204" s="20"/>
      <c r="D204" s="20"/>
    </row>
    <row r="205" spans="1:4" ht="20.25" x14ac:dyDescent="0.25">
      <c r="A205" s="56"/>
      <c r="B205" s="15"/>
      <c r="C205" s="20"/>
      <c r="D205" s="20"/>
    </row>
    <row r="206" spans="1:4" ht="20.25" x14ac:dyDescent="0.25">
      <c r="A206" s="56"/>
      <c r="B206" s="15"/>
      <c r="C206" s="20"/>
      <c r="D206" s="20"/>
    </row>
    <row r="207" spans="1:4" ht="20.25" x14ac:dyDescent="0.25">
      <c r="A207" s="56"/>
      <c r="B207" s="15"/>
      <c r="C207" s="20"/>
      <c r="D207" s="20"/>
    </row>
    <row r="208" spans="1:4" x14ac:dyDescent="0.25">
      <c r="A208" s="36"/>
      <c r="B208" s="15"/>
      <c r="C208" s="15"/>
      <c r="D208" s="15"/>
    </row>
    <row r="209" spans="1:8" ht="20.25" x14ac:dyDescent="0.25">
      <c r="A209" s="36"/>
      <c r="B209" s="16" t="s">
        <v>83</v>
      </c>
      <c r="C209" s="16" t="s">
        <v>136</v>
      </c>
      <c r="D209" s="19" t="s">
        <v>83</v>
      </c>
      <c r="E209" s="19" t="s">
        <v>136</v>
      </c>
    </row>
    <row r="210" spans="1:8" ht="21" x14ac:dyDescent="0.35">
      <c r="A210" s="36"/>
      <c r="B210" s="17" t="s">
        <v>85</v>
      </c>
      <c r="C210" s="17" t="s">
        <v>53</v>
      </c>
      <c r="D210" t="s">
        <v>85</v>
      </c>
      <c r="F210" t="str">
        <f>IF(NOT(ISBLANK(D210)),D210,IF(NOT(ISBLANK(E210)),"     "&amp;E210,FALSE))</f>
        <v>Afectación Económica o presupuestal</v>
      </c>
      <c r="G210" t="s">
        <v>85</v>
      </c>
      <c r="H210" t="str">
        <f>IF(NOT(ISERROR(MATCH(G210,_xlfn.ANCHORARRAY(B221),0))),F223&amp;"Por favor no seleccionar los criterios de impacto",G210)</f>
        <v>❌Por favor no seleccionar los criterios de impacto</v>
      </c>
    </row>
    <row r="211" spans="1:8" ht="21" x14ac:dyDescent="0.35">
      <c r="A211" s="36"/>
      <c r="B211" s="17" t="s">
        <v>85</v>
      </c>
      <c r="C211" s="17" t="s">
        <v>88</v>
      </c>
      <c r="E211" t="s">
        <v>53</v>
      </c>
      <c r="F211" t="str">
        <f t="shared" ref="F211:F221" si="0">IF(NOT(ISBLANK(D211)),D211,IF(NOT(ISBLANK(E211)),"     "&amp;E211,FALSE))</f>
        <v xml:space="preserve">     Afectación menor a 10 SMLMV .</v>
      </c>
    </row>
    <row r="212" spans="1:8" ht="21" x14ac:dyDescent="0.35">
      <c r="A212" s="36"/>
      <c r="B212" s="17" t="s">
        <v>85</v>
      </c>
      <c r="C212" s="17" t="s">
        <v>89</v>
      </c>
      <c r="E212" t="s">
        <v>88</v>
      </c>
      <c r="F212" t="str">
        <f t="shared" si="0"/>
        <v xml:space="preserve">     Entre 10 y 50 SMLMV </v>
      </c>
    </row>
    <row r="213" spans="1:8" ht="21" x14ac:dyDescent="0.35">
      <c r="A213" s="36"/>
      <c r="B213" s="17" t="s">
        <v>85</v>
      </c>
      <c r="C213" s="17" t="s">
        <v>90</v>
      </c>
      <c r="E213" t="s">
        <v>89</v>
      </c>
      <c r="F213" t="str">
        <f t="shared" si="0"/>
        <v xml:space="preserve">     Entre 50 y 100 SMLMV </v>
      </c>
    </row>
    <row r="214" spans="1:8" ht="21" x14ac:dyDescent="0.35">
      <c r="A214" s="36"/>
      <c r="B214" s="17" t="s">
        <v>85</v>
      </c>
      <c r="C214" s="17" t="s">
        <v>91</v>
      </c>
      <c r="E214" t="s">
        <v>90</v>
      </c>
      <c r="F214" t="str">
        <f t="shared" si="0"/>
        <v xml:space="preserve">     Entre 100 y 500 SMLMV </v>
      </c>
    </row>
    <row r="215" spans="1:8" ht="21" x14ac:dyDescent="0.35">
      <c r="A215" s="36"/>
      <c r="B215" s="17" t="s">
        <v>52</v>
      </c>
      <c r="C215" s="17" t="s">
        <v>92</v>
      </c>
      <c r="E215" t="s">
        <v>91</v>
      </c>
      <c r="F215" t="str">
        <f t="shared" si="0"/>
        <v xml:space="preserve">     Mayor a 500 SMLMV </v>
      </c>
    </row>
    <row r="216" spans="1:8" ht="21" x14ac:dyDescent="0.35">
      <c r="A216" s="36"/>
      <c r="B216" s="17" t="s">
        <v>52</v>
      </c>
      <c r="C216" s="17" t="s">
        <v>93</v>
      </c>
      <c r="D216" t="s">
        <v>52</v>
      </c>
      <c r="F216" t="str">
        <f t="shared" si="0"/>
        <v>Pérdida Reputacional</v>
      </c>
    </row>
    <row r="217" spans="1:8" ht="21" x14ac:dyDescent="0.35">
      <c r="A217" s="36"/>
      <c r="B217" s="17" t="s">
        <v>52</v>
      </c>
      <c r="C217" s="17" t="s">
        <v>95</v>
      </c>
      <c r="E217" t="s">
        <v>92</v>
      </c>
      <c r="F217" t="str">
        <f t="shared" si="0"/>
        <v xml:space="preserve">     El riesgo afecta la imagen de alguna área de la organización</v>
      </c>
    </row>
    <row r="218" spans="1:8" ht="21" x14ac:dyDescent="0.35">
      <c r="A218" s="36"/>
      <c r="B218" s="17" t="s">
        <v>52</v>
      </c>
      <c r="C218" s="17" t="s">
        <v>94</v>
      </c>
      <c r="E218" t="s">
        <v>93</v>
      </c>
      <c r="F218" t="str">
        <f t="shared" si="0"/>
        <v xml:space="preserve">     El riesgo afecta la imagen de la entidad internamente, de conocimiento general, nivel interno, de junta dircetiva y accionistas y/o de provedores</v>
      </c>
    </row>
    <row r="219" spans="1:8" ht="21" x14ac:dyDescent="0.35">
      <c r="A219" s="36"/>
      <c r="B219" s="17" t="s">
        <v>52</v>
      </c>
      <c r="C219" s="17" t="s">
        <v>113</v>
      </c>
      <c r="E219" t="s">
        <v>95</v>
      </c>
      <c r="F219" t="str">
        <f t="shared" si="0"/>
        <v xml:space="preserve">     El riesgo afecta la imagen de la entidad con algunos usuarios de relevancia frente al logro de los objetivos</v>
      </c>
    </row>
    <row r="220" spans="1:8" x14ac:dyDescent="0.25">
      <c r="A220" s="36"/>
      <c r="B220" s="18"/>
      <c r="C220" s="18"/>
      <c r="E220" t="s">
        <v>94</v>
      </c>
      <c r="F220" t="str">
        <f t="shared" si="0"/>
        <v xml:space="preserve">     El riesgo afecta la imagen de de la entidad con efecto publicitario sostenido a nivel de sector administrativo, nivel departamental o municipal</v>
      </c>
    </row>
    <row r="221" spans="1:8" x14ac:dyDescent="0.25">
      <c r="A221" s="36"/>
      <c r="B221" s="18" t="str" cm="1">
        <f t="array" ref="B221:B223">_xlfn.UNIQUE(Tabla1[[#All],[Criterios]])</f>
        <v>Criterios</v>
      </c>
      <c r="C221" s="18"/>
      <c r="E221" t="s">
        <v>113</v>
      </c>
      <c r="F221" t="str">
        <f t="shared" si="0"/>
        <v xml:space="preserve">     El riesgo afecta la imagen de la entidad a nivel nacional, con efecto publicitarios sostenible a nivel país</v>
      </c>
    </row>
    <row r="222" spans="1:8" x14ac:dyDescent="0.25">
      <c r="A222" s="36"/>
      <c r="B222" s="18" t="str">
        <v>Afectación Económica o presupuestal</v>
      </c>
      <c r="C222" s="18"/>
    </row>
    <row r="223" spans="1:8" x14ac:dyDescent="0.25">
      <c r="B223" s="18" t="str">
        <v>Pérdida Reputacional</v>
      </c>
      <c r="C223" s="18"/>
      <c r="F223" s="21" t="s">
        <v>138</v>
      </c>
    </row>
    <row r="224" spans="1:8" x14ac:dyDescent="0.25">
      <c r="B224" s="14"/>
      <c r="C224" s="14"/>
      <c r="F224" s="21" t="s">
        <v>139</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7" tint="-0.249977111117893"/>
  </sheetPr>
  <dimension ref="B1:F16"/>
  <sheetViews>
    <sheetView topLeftCell="A11" workbookViewId="0">
      <selection activeCell="B1" sqref="B1:F1"/>
    </sheetView>
  </sheetViews>
  <sheetFormatPr baseColWidth="10" defaultColWidth="14.28515625" defaultRowHeight="12.75" x14ac:dyDescent="0.2"/>
  <cols>
    <col min="1" max="2" width="14.28515625" style="41"/>
    <col min="3" max="3" width="17" style="41" customWidth="1"/>
    <col min="4" max="4" width="14.28515625" style="41"/>
    <col min="5" max="5" width="46" style="41" customWidth="1"/>
    <col min="6" max="16384" width="14.28515625" style="41"/>
  </cols>
  <sheetData>
    <row r="1" spans="2:6" ht="24" customHeight="1" thickBot="1" x14ac:dyDescent="0.25">
      <c r="B1" s="658" t="s">
        <v>73</v>
      </c>
      <c r="C1" s="659"/>
      <c r="D1" s="659"/>
      <c r="E1" s="659"/>
      <c r="F1" s="660"/>
    </row>
    <row r="2" spans="2:6" ht="16.5" thickBot="1" x14ac:dyDescent="0.3">
      <c r="B2" s="42"/>
      <c r="C2" s="42"/>
      <c r="D2" s="42"/>
      <c r="E2" s="42"/>
      <c r="F2" s="42"/>
    </row>
    <row r="3" spans="2:6" ht="16.5" thickBot="1" x14ac:dyDescent="0.25">
      <c r="B3" s="662" t="s">
        <v>59</v>
      </c>
      <c r="C3" s="663"/>
      <c r="D3" s="663"/>
      <c r="E3" s="54" t="s">
        <v>60</v>
      </c>
      <c r="F3" s="55" t="s">
        <v>61</v>
      </c>
    </row>
    <row r="4" spans="2:6" ht="31.5" x14ac:dyDescent="0.2">
      <c r="B4" s="664" t="s">
        <v>62</v>
      </c>
      <c r="C4" s="666" t="s">
        <v>11</v>
      </c>
      <c r="D4" s="43" t="s">
        <v>12</v>
      </c>
      <c r="E4" s="44" t="s">
        <v>63</v>
      </c>
      <c r="F4" s="45">
        <v>0.25</v>
      </c>
    </row>
    <row r="5" spans="2:6" ht="47.25" x14ac:dyDescent="0.2">
      <c r="B5" s="665"/>
      <c r="C5" s="667"/>
      <c r="D5" s="46" t="s">
        <v>13</v>
      </c>
      <c r="E5" s="47" t="s">
        <v>64</v>
      </c>
      <c r="F5" s="48">
        <v>0.15</v>
      </c>
    </row>
    <row r="6" spans="2:6" ht="47.25" x14ac:dyDescent="0.2">
      <c r="B6" s="665"/>
      <c r="C6" s="667"/>
      <c r="D6" s="46" t="s">
        <v>14</v>
      </c>
      <c r="E6" s="47" t="s">
        <v>65</v>
      </c>
      <c r="F6" s="48">
        <v>0.1</v>
      </c>
    </row>
    <row r="7" spans="2:6" ht="63" x14ac:dyDescent="0.2">
      <c r="B7" s="665"/>
      <c r="C7" s="667" t="s">
        <v>15</v>
      </c>
      <c r="D7" s="46" t="s">
        <v>8</v>
      </c>
      <c r="E7" s="47" t="s">
        <v>66</v>
      </c>
      <c r="F7" s="48">
        <v>0.25</v>
      </c>
    </row>
    <row r="8" spans="2:6" ht="31.5" x14ac:dyDescent="0.2">
      <c r="B8" s="665"/>
      <c r="C8" s="667"/>
      <c r="D8" s="46" t="s">
        <v>7</v>
      </c>
      <c r="E8" s="47" t="s">
        <v>67</v>
      </c>
      <c r="F8" s="48">
        <v>0.15</v>
      </c>
    </row>
    <row r="9" spans="2:6" ht="47.25" x14ac:dyDescent="0.2">
      <c r="B9" s="665" t="s">
        <v>152</v>
      </c>
      <c r="C9" s="667" t="s">
        <v>16</v>
      </c>
      <c r="D9" s="46" t="s">
        <v>17</v>
      </c>
      <c r="E9" s="47" t="s">
        <v>68</v>
      </c>
      <c r="F9" s="49" t="s">
        <v>69</v>
      </c>
    </row>
    <row r="10" spans="2:6" ht="63" x14ac:dyDescent="0.2">
      <c r="B10" s="665"/>
      <c r="C10" s="667"/>
      <c r="D10" s="46" t="s">
        <v>18</v>
      </c>
      <c r="E10" s="47" t="s">
        <v>70</v>
      </c>
      <c r="F10" s="49" t="s">
        <v>69</v>
      </c>
    </row>
    <row r="11" spans="2:6" ht="47.25" x14ac:dyDescent="0.2">
      <c r="B11" s="665"/>
      <c r="C11" s="667" t="s">
        <v>19</v>
      </c>
      <c r="D11" s="46" t="s">
        <v>20</v>
      </c>
      <c r="E11" s="47" t="s">
        <v>71</v>
      </c>
      <c r="F11" s="49" t="s">
        <v>69</v>
      </c>
    </row>
    <row r="12" spans="2:6" ht="47.25" x14ac:dyDescent="0.2">
      <c r="B12" s="665"/>
      <c r="C12" s="667"/>
      <c r="D12" s="46" t="s">
        <v>21</v>
      </c>
      <c r="E12" s="47" t="s">
        <v>72</v>
      </c>
      <c r="F12" s="49" t="s">
        <v>69</v>
      </c>
    </row>
    <row r="13" spans="2:6" ht="31.5" x14ac:dyDescent="0.2">
      <c r="B13" s="665"/>
      <c r="C13" s="667" t="s">
        <v>22</v>
      </c>
      <c r="D13" s="46" t="s">
        <v>114</v>
      </c>
      <c r="E13" s="47" t="s">
        <v>117</v>
      </c>
      <c r="F13" s="49" t="s">
        <v>69</v>
      </c>
    </row>
    <row r="14" spans="2:6" ht="32.25" thickBot="1" x14ac:dyDescent="0.25">
      <c r="B14" s="668"/>
      <c r="C14" s="669"/>
      <c r="D14" s="50" t="s">
        <v>115</v>
      </c>
      <c r="E14" s="51" t="s">
        <v>116</v>
      </c>
      <c r="F14" s="52" t="s">
        <v>69</v>
      </c>
    </row>
    <row r="15" spans="2:6" ht="49.5" customHeight="1" x14ac:dyDescent="0.2">
      <c r="B15" s="661" t="s">
        <v>149</v>
      </c>
      <c r="C15" s="661"/>
      <c r="D15" s="661"/>
      <c r="E15" s="661"/>
      <c r="F15" s="661"/>
    </row>
    <row r="16" spans="2:6" ht="27" customHeight="1" x14ac:dyDescent="0.25">
      <c r="B16" s="5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29</v>
      </c>
      <c r="E2" t="s">
        <v>126</v>
      </c>
    </row>
    <row r="3" spans="2:5" x14ac:dyDescent="0.25">
      <c r="B3" t="s">
        <v>30</v>
      </c>
      <c r="E3" t="s">
        <v>125</v>
      </c>
    </row>
    <row r="4" spans="2:5" x14ac:dyDescent="0.25">
      <c r="B4" t="s">
        <v>130</v>
      </c>
      <c r="E4" t="s">
        <v>127</v>
      </c>
    </row>
    <row r="5" spans="2:5" x14ac:dyDescent="0.25">
      <c r="B5" t="s">
        <v>129</v>
      </c>
    </row>
    <row r="8" spans="2:5" x14ac:dyDescent="0.25">
      <c r="B8" t="s">
        <v>81</v>
      </c>
    </row>
    <row r="9" spans="2:5" x14ac:dyDescent="0.25">
      <c r="B9" t="s">
        <v>37</v>
      </c>
    </row>
    <row r="10" spans="2:5" x14ac:dyDescent="0.25">
      <c r="B10" t="s">
        <v>38</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3:C21"/>
  <sheetViews>
    <sheetView workbookViewId="0">
      <selection activeCell="C16" sqref="C16"/>
    </sheetView>
  </sheetViews>
  <sheetFormatPr baseColWidth="10" defaultRowHeight="12.75" x14ac:dyDescent="0.2"/>
  <cols>
    <col min="1" max="1" width="32.85546875" style="1" customWidth="1"/>
    <col min="2" max="2" width="11.42578125" style="1"/>
    <col min="3" max="3" width="45.5703125" style="1" customWidth="1"/>
    <col min="4" max="16384" width="11.42578125" style="1"/>
  </cols>
  <sheetData>
    <row r="3" spans="1:3" x14ac:dyDescent="0.2">
      <c r="A3" s="2" t="s">
        <v>12</v>
      </c>
      <c r="C3" s="277" t="s">
        <v>148</v>
      </c>
    </row>
    <row r="4" spans="1:3" x14ac:dyDescent="0.2">
      <c r="A4" s="2" t="s">
        <v>13</v>
      </c>
      <c r="C4" s="278" t="s">
        <v>88</v>
      </c>
    </row>
    <row r="5" spans="1:3" x14ac:dyDescent="0.2">
      <c r="A5" s="2" t="s">
        <v>14</v>
      </c>
      <c r="C5" s="278" t="s">
        <v>89</v>
      </c>
    </row>
    <row r="6" spans="1:3" x14ac:dyDescent="0.2">
      <c r="A6" s="2" t="s">
        <v>8</v>
      </c>
      <c r="C6" s="278" t="s">
        <v>90</v>
      </c>
    </row>
    <row r="7" spans="1:3" x14ac:dyDescent="0.2">
      <c r="A7" s="2" t="s">
        <v>7</v>
      </c>
      <c r="C7" s="278" t="s">
        <v>91</v>
      </c>
    </row>
    <row r="8" spans="1:3" x14ac:dyDescent="0.2">
      <c r="A8" s="2" t="s">
        <v>17</v>
      </c>
      <c r="C8" s="279"/>
    </row>
    <row r="9" spans="1:3" x14ac:dyDescent="0.2">
      <c r="A9" s="2" t="s">
        <v>18</v>
      </c>
      <c r="C9" s="280" t="s">
        <v>92</v>
      </c>
    </row>
    <row r="10" spans="1:3" ht="38.25" x14ac:dyDescent="0.2">
      <c r="A10" s="2" t="s">
        <v>20</v>
      </c>
      <c r="C10" s="281" t="s">
        <v>93</v>
      </c>
    </row>
    <row r="11" spans="1:3" ht="25.5" x14ac:dyDescent="0.2">
      <c r="A11" s="2" t="s">
        <v>21</v>
      </c>
      <c r="C11" s="281" t="s">
        <v>95</v>
      </c>
    </row>
    <row r="12" spans="1:3" ht="38.25" x14ac:dyDescent="0.2">
      <c r="A12" s="2" t="s">
        <v>23</v>
      </c>
      <c r="C12" s="281" t="s">
        <v>94</v>
      </c>
    </row>
    <row r="13" spans="1:3" ht="25.5" x14ac:dyDescent="0.2">
      <c r="A13" s="2" t="s">
        <v>24</v>
      </c>
      <c r="C13" s="281" t="s">
        <v>113</v>
      </c>
    </row>
    <row r="14" spans="1:3" x14ac:dyDescent="0.2">
      <c r="A14" s="2" t="s">
        <v>25</v>
      </c>
    </row>
    <row r="16" spans="1:3" x14ac:dyDescent="0.2">
      <c r="A16" s="2" t="s">
        <v>28</v>
      </c>
    </row>
    <row r="17" spans="1:1" x14ac:dyDescent="0.2">
      <c r="A17" s="2" t="s">
        <v>29</v>
      </c>
    </row>
    <row r="18" spans="1:1" x14ac:dyDescent="0.2">
      <c r="A18" s="2" t="s">
        <v>30</v>
      </c>
    </row>
    <row r="20" spans="1:1" x14ac:dyDescent="0.2">
      <c r="A20" s="2" t="s">
        <v>37</v>
      </c>
    </row>
    <row r="21" spans="1:1" x14ac:dyDescent="0.2">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CONTROL DE CAMBIOS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Lina Maria Patarroyo Parra</cp:lastModifiedBy>
  <cp:lastPrinted>2020-05-13T01:12:22Z</cp:lastPrinted>
  <dcterms:created xsi:type="dcterms:W3CDTF">2020-03-24T23:12:47Z</dcterms:created>
  <dcterms:modified xsi:type="dcterms:W3CDTF">2024-01-18T20:39:12Z</dcterms:modified>
</cp:coreProperties>
</file>